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"/>
    </mc:Choice>
  </mc:AlternateContent>
  <xr:revisionPtr revIDLastSave="0" documentId="13_ncr:1_{9ABD791E-0D6F-4D59-9CDA-73877C5A10EF}" xr6:coauthVersionLast="47" xr6:coauthVersionMax="47" xr10:uidLastSave="{00000000-0000-0000-0000-000000000000}"/>
  <bookViews>
    <workbookView xWindow="-110" yWindow="-110" windowWidth="19420" windowHeight="10420" tabRatio="760" activeTab="3" xr2:uid="{00000000-000D-0000-FFFF-FFFF00000000}"/>
  </bookViews>
  <sheets>
    <sheet name="BOM" sheetId="1" r:id="rId1"/>
    <sheet name="Electrical Wiring" sheetId="10" r:id="rId2"/>
    <sheet name="Cable gauge ref" sheetId="3" r:id="rId3"/>
    <sheet name="Fasteners" sheetId="9" r:id="rId4"/>
    <sheet name="Frame Cost Calc" sheetId="2" r:id="rId5"/>
    <sheet name="Heatbed Cost" sheetId="4" r:id="rId6"/>
    <sheet name="Sheet1" sheetId="6" state="hidden" r:id="rId7"/>
    <sheet name="Configuration" sheetId="7" r:id="rId8"/>
    <sheet name="Print List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4" i="1" l="1"/>
  <c r="E59" i="1"/>
  <c r="D58" i="1"/>
  <c r="D77" i="1"/>
  <c r="D63" i="1"/>
  <c r="D59" i="1"/>
  <c r="D94" i="1" l="1"/>
  <c r="D76" i="1"/>
  <c r="F31" i="1"/>
  <c r="D31" i="1"/>
  <c r="F89" i="1"/>
  <c r="D89" i="1"/>
  <c r="E95" i="1"/>
  <c r="D75" i="1"/>
  <c r="D4" i="1"/>
  <c r="D5" i="1"/>
  <c r="D6" i="1"/>
  <c r="D8" i="1"/>
  <c r="D9" i="1"/>
  <c r="D11" i="1"/>
  <c r="D12" i="1"/>
  <c r="D13" i="1"/>
  <c r="D14" i="1"/>
  <c r="D15" i="1"/>
  <c r="D16" i="1"/>
  <c r="D17" i="1"/>
  <c r="D18" i="1"/>
  <c r="D20" i="1"/>
  <c r="D21" i="1"/>
  <c r="D22" i="1"/>
  <c r="D23" i="1"/>
  <c r="D25" i="1"/>
  <c r="D26" i="1"/>
  <c r="D28" i="1"/>
  <c r="D29" i="1"/>
  <c r="D30" i="1"/>
  <c r="D33" i="1"/>
  <c r="D34" i="1"/>
  <c r="D35" i="1"/>
  <c r="D38" i="1"/>
  <c r="D39" i="1"/>
  <c r="D40" i="1"/>
  <c r="D41" i="1"/>
  <c r="D42" i="1"/>
  <c r="D43" i="1"/>
  <c r="D44" i="1"/>
  <c r="D45" i="1"/>
  <c r="D48" i="1"/>
  <c r="D49" i="1"/>
  <c r="D50" i="1"/>
  <c r="D51" i="1"/>
  <c r="D52" i="1"/>
  <c r="D55" i="1"/>
  <c r="D56" i="1"/>
  <c r="D57" i="1"/>
  <c r="D60" i="1"/>
  <c r="D61" i="1"/>
  <c r="D62" i="1"/>
  <c r="D64" i="1"/>
  <c r="D65" i="1"/>
  <c r="D66" i="1"/>
  <c r="D67" i="1"/>
  <c r="D68" i="1"/>
  <c r="D69" i="1"/>
  <c r="D70" i="1"/>
  <c r="D71" i="1"/>
  <c r="D72" i="1"/>
  <c r="D78" i="1"/>
  <c r="D80" i="1"/>
  <c r="D81" i="1"/>
  <c r="D82" i="1"/>
  <c r="D83" i="1"/>
  <c r="D87" i="1"/>
  <c r="D88" i="1"/>
  <c r="D90" i="1"/>
  <c r="D91" i="1"/>
  <c r="D92" i="1"/>
  <c r="D93" i="1"/>
  <c r="D95" i="1"/>
  <c r="D97" i="1"/>
  <c r="D100" i="1"/>
  <c r="D101" i="1"/>
  <c r="D102" i="1"/>
  <c r="D105" i="1"/>
  <c r="D107" i="1"/>
  <c r="D108" i="1"/>
  <c r="F105" i="1"/>
  <c r="F93" i="1"/>
  <c r="E17" i="1"/>
  <c r="F17" i="1" s="1"/>
  <c r="F68" i="1"/>
  <c r="F97" i="1"/>
  <c r="G99" i="1" s="1"/>
  <c r="F67" i="1"/>
  <c r="F66" i="1"/>
  <c r="F56" i="1"/>
  <c r="F65" i="1"/>
  <c r="F64" i="1"/>
  <c r="F62" i="1"/>
  <c r="F61" i="1"/>
  <c r="F60" i="1"/>
  <c r="F58" i="1"/>
  <c r="F57" i="1"/>
  <c r="F44" i="1"/>
  <c r="F55" i="1"/>
  <c r="C20" i="2"/>
  <c r="D20" i="2" s="1"/>
  <c r="C17" i="2"/>
  <c r="D17" i="2" s="1"/>
  <c r="C21" i="2"/>
  <c r="D21" i="2" s="1"/>
  <c r="C18" i="2"/>
  <c r="D18" i="2" s="1"/>
  <c r="D17" i="4"/>
  <c r="D18" i="4" s="1"/>
  <c r="D9" i="4"/>
  <c r="F83" i="1"/>
  <c r="F82" i="1"/>
  <c r="F81" i="1"/>
  <c r="F80" i="1"/>
  <c r="G12" i="9"/>
  <c r="F101" i="1"/>
  <c r="F102" i="1"/>
  <c r="E100" i="1"/>
  <c r="F100" i="1" s="1"/>
  <c r="F44" i="8"/>
  <c r="F43" i="8"/>
  <c r="F41" i="8"/>
  <c r="F40" i="8"/>
  <c r="F37" i="8"/>
  <c r="F4" i="8"/>
  <c r="F34" i="7"/>
  <c r="B34" i="7"/>
  <c r="B33" i="7"/>
  <c r="E4" i="8" s="1"/>
  <c r="B32" i="7"/>
  <c r="F30" i="7"/>
  <c r="F28" i="7"/>
  <c r="C28" i="6"/>
  <c r="C27" i="6"/>
  <c r="G26" i="6"/>
  <c r="G38" i="6" s="1"/>
  <c r="C8" i="6" s="1"/>
  <c r="C26" i="6"/>
  <c r="J43" i="6" s="1"/>
  <c r="C25" i="6"/>
  <c r="J37" i="6" s="1"/>
  <c r="C24" i="6"/>
  <c r="C9" i="6" s="1"/>
  <c r="C19" i="6"/>
  <c r="G17" i="6"/>
  <c r="I37" i="6" s="1"/>
  <c r="Y14" i="6"/>
  <c r="G7" i="6"/>
  <c r="G22" i="6" s="1"/>
  <c r="I36" i="6" s="1"/>
  <c r="G109" i="1" l="1"/>
  <c r="C16" i="6"/>
  <c r="D22" i="2"/>
  <c r="D19" i="2"/>
  <c r="D29" i="7"/>
  <c r="D32" i="8"/>
  <c r="C17" i="6"/>
  <c r="D29" i="8"/>
  <c r="G37" i="6"/>
  <c r="C7" i="6" s="1"/>
  <c r="D28" i="7" s="1"/>
  <c r="E19" i="8"/>
  <c r="E27" i="8"/>
  <c r="E18" i="8"/>
  <c r="E26" i="8"/>
  <c r="E17" i="8"/>
  <c r="E24" i="8"/>
  <c r="E23" i="8"/>
  <c r="E22" i="8"/>
  <c r="E21" i="8"/>
  <c r="E20" i="8"/>
  <c r="G32" i="6"/>
  <c r="D34" i="7" s="1"/>
  <c r="I40" i="6"/>
  <c r="I43" i="6" s="1"/>
  <c r="I44" i="6"/>
  <c r="D30" i="8"/>
  <c r="C12" i="6"/>
  <c r="C18" i="6"/>
  <c r="D31" i="8"/>
  <c r="I41" i="6"/>
  <c r="D4" i="8"/>
  <c r="J36" i="6"/>
  <c r="G36" i="6" s="1"/>
  <c r="C6" i="6" s="1"/>
  <c r="J41" i="6"/>
  <c r="J44" i="6" s="1"/>
  <c r="G44" i="6" s="1"/>
  <c r="G43" i="6"/>
  <c r="C15" i="6"/>
  <c r="D31" i="7" s="1"/>
  <c r="C10" i="6"/>
  <c r="C11" i="6"/>
  <c r="G23" i="6" l="1"/>
  <c r="D33" i="7" s="1"/>
  <c r="D27" i="7"/>
  <c r="J40" i="6"/>
  <c r="G12" i="6"/>
  <c r="D32" i="7" s="1"/>
  <c r="C14" i="6"/>
  <c r="D30" i="7" s="1"/>
  <c r="G45" i="6"/>
  <c r="G17" i="7" s="1"/>
  <c r="D5" i="4" l="1"/>
  <c r="D6" i="4"/>
  <c r="D7" i="4"/>
  <c r="D8" i="4"/>
  <c r="D4" i="4"/>
  <c r="F22" i="1" l="1"/>
  <c r="C27" i="1"/>
  <c r="D27" i="1" s="1"/>
  <c r="F28" i="1"/>
  <c r="F29" i="1"/>
  <c r="F30" i="1"/>
  <c r="F48" i="1"/>
  <c r="F33" i="1"/>
  <c r="E12" i="2"/>
  <c r="F14" i="1" s="1"/>
  <c r="E11" i="2"/>
  <c r="F13" i="1" s="1"/>
  <c r="E10" i="2"/>
  <c r="F12" i="1" s="1"/>
  <c r="E9" i="2"/>
  <c r="F9" i="1" s="1"/>
  <c r="E8" i="2"/>
  <c r="F8" i="1" s="1"/>
  <c r="E7" i="2"/>
  <c r="F6" i="1" s="1"/>
  <c r="E5" i="2"/>
  <c r="F4" i="1" s="1"/>
  <c r="F12" i="2" l="1"/>
  <c r="F92" i="1"/>
  <c r="F88" i="1"/>
  <c r="F87" i="1"/>
  <c r="F91" i="1"/>
  <c r="G96" i="1" l="1"/>
  <c r="G85" i="1"/>
  <c r="F36" i="1"/>
  <c r="F35" i="1"/>
  <c r="F42" i="1"/>
  <c r="F51" i="1"/>
  <c r="F50" i="1"/>
  <c r="F49" i="1"/>
  <c r="F43" i="1"/>
  <c r="G79" i="1"/>
  <c r="F40" i="1"/>
  <c r="F41" i="1"/>
  <c r="F39" i="1"/>
  <c r="F38" i="1"/>
  <c r="F34" i="1"/>
  <c r="F20" i="1"/>
  <c r="F18" i="1"/>
  <c r="F16" i="1"/>
  <c r="F21" i="1"/>
  <c r="F25" i="1"/>
  <c r="F26" i="1"/>
  <c r="F27" i="1"/>
  <c r="G37" i="1" l="1"/>
  <c r="G46" i="1"/>
  <c r="G54" i="1"/>
  <c r="G19" i="1"/>
  <c r="G32" i="1"/>
  <c r="G15" i="1"/>
  <c r="G24" i="1"/>
  <c r="G11" i="1" l="1"/>
  <c r="F9" i="2"/>
  <c r="E6" i="2"/>
  <c r="F5" i="1" s="1"/>
  <c r="F7" i="2" l="1"/>
  <c r="F13" i="2" s="1"/>
  <c r="G7" i="1"/>
  <c r="G112" i="1" s="1"/>
  <c r="F120" i="1"/>
  <c r="D10" i="4"/>
</calcChain>
</file>

<file path=xl/sharedStrings.xml><?xml version="1.0" encoding="utf-8"?>
<sst xmlns="http://schemas.openxmlformats.org/spreadsheetml/2006/main" count="1005" uniqueCount="600">
  <si>
    <t>Description</t>
  </si>
  <si>
    <t>Unit Price</t>
  </si>
  <si>
    <t>Cost</t>
  </si>
  <si>
    <t>Shop</t>
  </si>
  <si>
    <t>Item URL</t>
  </si>
  <si>
    <t>System</t>
  </si>
  <si>
    <t>Alu profile cost calculator</t>
  </si>
  <si>
    <t>30x30 Frame</t>
  </si>
  <si>
    <t>Z profile</t>
  </si>
  <si>
    <t>Y profile</t>
  </si>
  <si>
    <t>X profile</t>
  </si>
  <si>
    <t>20x20 Frame</t>
  </si>
  <si>
    <t>Bed X profile</t>
  </si>
  <si>
    <t>Bed Y profile</t>
  </si>
  <si>
    <t>Total</t>
  </si>
  <si>
    <t>Motedis.de</t>
  </si>
  <si>
    <t>3030 Frame</t>
  </si>
  <si>
    <t>2020 Frame</t>
  </si>
  <si>
    <t>Shafts</t>
  </si>
  <si>
    <t>Comment</t>
  </si>
  <si>
    <t>Electronics</t>
  </si>
  <si>
    <t>Brackets</t>
  </si>
  <si>
    <t>Nema 17</t>
  </si>
  <si>
    <t>Motors</t>
  </si>
  <si>
    <t>Belts &amp; Pulley</t>
  </si>
  <si>
    <t>GT2 Idler NO teeth 3mm bore for 6mm belt</t>
  </si>
  <si>
    <t>Cost (Euros)</t>
  </si>
  <si>
    <t>Qty</t>
  </si>
  <si>
    <t>Length/pc</t>
  </si>
  <si>
    <t>Type</t>
  </si>
  <si>
    <t>Ebay</t>
  </si>
  <si>
    <t>Sum Total</t>
  </si>
  <si>
    <t>https://www.motedis.com/shop/Dynamik/Komponenten-Praezisionswellen/Praezisionswelle-8-mm-H6-Stahl-gehaertet-und-geschliffen::6494.html</t>
  </si>
  <si>
    <t>https://www.motedis.com/shop/Dynamik/Komponenten-Praezisionswellen/Praezisionswelle-10-mm-h6-Stahl-gehaertet-und-geschliffen::6495.html</t>
  </si>
  <si>
    <t>https://www.motedis.com/shop/Dynamik/Komponenten-Praezisionswellen/Praezisionswelle-12-mm-h6-Stahl-gehaertet-und-geschliffen::6496.html</t>
  </si>
  <si>
    <t>motedis.de</t>
  </si>
  <si>
    <t>bohrers.de</t>
  </si>
  <si>
    <t>Status</t>
  </si>
  <si>
    <t>Bearings</t>
  </si>
  <si>
    <t>Heatbed</t>
  </si>
  <si>
    <t>Aliexpress</t>
  </si>
  <si>
    <t>MKS Sbase V1.3</t>
  </si>
  <si>
    <t>Ebay (china)</t>
  </si>
  <si>
    <t>Heatbed Isolation</t>
  </si>
  <si>
    <t>GT2 40T bore 5mm pulley- 6mm belt</t>
  </si>
  <si>
    <t>Enclosure</t>
  </si>
  <si>
    <t>Fasteners</t>
  </si>
  <si>
    <t>AWG</t>
  </si>
  <si>
    <t>https://schrauben-expert.de/Zylinderschraube-DIN-912-M-5-x-12-Stahl-109-galv-verzinkt</t>
  </si>
  <si>
    <t>https://www.birkhofer-shop.com/epages/BirkhoferVerbindungselemente.sf/de_DE/?ObjectPath=/Shops/BirkhoferVerbindungselemente/Categories/Schrauben/Sechskantschrauben/%22mit%20Vollgewinde%22/%22DIN%20933%20Regelgewinde%22/%22Edelstahl%20A2%22/%22Durchmesser%20M3%22</t>
  </si>
  <si>
    <t>M3 Socket head screws (kit) - 4,6,8,10,12,16,20,25,30</t>
  </si>
  <si>
    <t>M5 hammer nuts - 2020 nut 6</t>
  </si>
  <si>
    <t>3mm dowel pins - 12mm long</t>
  </si>
  <si>
    <t>M3 5x5 brass knurled inserts</t>
  </si>
  <si>
    <t>Metric MM2 (Diameter)</t>
  </si>
  <si>
    <t>Approx Strading</t>
  </si>
  <si>
    <t>24 awg</t>
  </si>
  <si>
    <t> 7/0.2</t>
  </si>
  <si>
    <t>22 awg</t>
  </si>
  <si>
    <t> 16/0.2</t>
  </si>
  <si>
    <t>20 awg</t>
  </si>
  <si>
    <t> 24/0.2</t>
  </si>
  <si>
    <t>18 awg</t>
  </si>
  <si>
    <t> 32/0.2</t>
  </si>
  <si>
    <t>16 awg</t>
  </si>
  <si>
    <t> 30/0.25</t>
  </si>
  <si>
    <t>14 awg</t>
  </si>
  <si>
    <t> 50/0.25</t>
  </si>
  <si>
    <t>12 awg</t>
  </si>
  <si>
    <t> 56/0.3</t>
  </si>
  <si>
    <t>10 awg</t>
  </si>
  <si>
    <t> 84/0.3</t>
  </si>
  <si>
    <t>10mm</t>
  </si>
  <si>
    <t>8 awg</t>
  </si>
  <si>
    <t> 80/0.4</t>
  </si>
  <si>
    <t>6 awg</t>
  </si>
  <si>
    <t> 126/0.4</t>
  </si>
  <si>
    <t>4 awg</t>
  </si>
  <si>
    <t> 196/0.4</t>
  </si>
  <si>
    <t>Amazon</t>
  </si>
  <si>
    <t>https://www.motedis.com/shop/Nutprofil-Zubehoer/Innenwinkel/Innenwinkel-Zamak-30-B-Typ-40-I-Typ-Nut-8-M6::8420.html</t>
  </si>
  <si>
    <t>https://www.motedis.com/shop/Nutprofil-Zubehoer/In-der-Nut/Hammermutter-B-Typ-Nut-6-M5::7145.html</t>
  </si>
  <si>
    <t>https://www.motedis.com/shop/Nutprofil-Zubehoer/In-der-Nut/Hammermutter-B-Typ-Nut-8-M5::4214.html</t>
  </si>
  <si>
    <t xml:space="preserve"> </t>
  </si>
  <si>
    <t>JST-XH Connectors Kit</t>
  </si>
  <si>
    <t>https://www.amazon.de/gp/product/B07PRWF4BV/ref=ppx_od_dt_b_asin_title_s01?ie=UTF8&amp;psc=1</t>
  </si>
  <si>
    <t>Raw Material</t>
  </si>
  <si>
    <t>Geetech PETG Filament (red &amp; silver)</t>
  </si>
  <si>
    <t>Meanwell LRS-350W PSU</t>
  </si>
  <si>
    <t>plattenshop24.com</t>
  </si>
  <si>
    <t>Parts</t>
  </si>
  <si>
    <t>Price</t>
  </si>
  <si>
    <t>Thermal Fuse</t>
  </si>
  <si>
    <t>Inline Fuse</t>
  </si>
  <si>
    <t>Silicon Bed Heater</t>
  </si>
  <si>
    <t>8mm</t>
  </si>
  <si>
    <t>12mm</t>
  </si>
  <si>
    <t>Shafts (X)</t>
  </si>
  <si>
    <t>Shafts (Y)</t>
  </si>
  <si>
    <t>Shafts (Z)</t>
  </si>
  <si>
    <t>Aliexpress (trianglelabs)</t>
  </si>
  <si>
    <t>roboter Bausatz</t>
  </si>
  <si>
    <t>Motor Cable (JST with 6pin to 4pin) - 100cm</t>
  </si>
  <si>
    <t>5.67 Euro/m</t>
  </si>
  <si>
    <t>3.8 Euro/m</t>
  </si>
  <si>
    <t>4.76 Euro/m</t>
  </si>
  <si>
    <t>5.06 Euro/m</t>
  </si>
  <si>
    <t>6 Euro/m</t>
  </si>
  <si>
    <t>(bracket size 15mm)</t>
  </si>
  <si>
    <t>Z profile - 500mm</t>
  </si>
  <si>
    <t>Y profile - 340mm</t>
  </si>
  <si>
    <t>X profile - 340mm</t>
  </si>
  <si>
    <t>Bed X profile - 335mm</t>
  </si>
  <si>
    <t>Bed Y profile - 140mm</t>
  </si>
  <si>
    <t>8 mm shaft - X - 370</t>
  </si>
  <si>
    <t>10 mm shaft - Y - 340</t>
  </si>
  <si>
    <t>Flex Plate + PEI</t>
  </si>
  <si>
    <t>X</t>
  </si>
  <si>
    <t>Y</t>
  </si>
  <si>
    <t>Z</t>
  </si>
  <si>
    <t>Calculations - do not change</t>
  </si>
  <si>
    <t>Parameter name</t>
  </si>
  <si>
    <t>Equation</t>
  </si>
  <si>
    <t>Unit</t>
  </si>
  <si>
    <t>Design parameters</t>
  </si>
  <si>
    <t>extrusion_size</t>
  </si>
  <si>
    <t>mm</t>
  </si>
  <si>
    <t>frame_width</t>
  </si>
  <si>
    <t>X Axis</t>
  </si>
  <si>
    <t>frame_depth</t>
  </si>
  <si>
    <t>x_carriage_travel_min</t>
  </si>
  <si>
    <t>frame_height</t>
  </si>
  <si>
    <t>x_carriage_depth_rear</t>
  </si>
  <si>
    <t>y offset from CL of x guides to rear of x carriage</t>
  </si>
  <si>
    <t>platform_width</t>
  </si>
  <si>
    <t>x_carriage_width</t>
  </si>
  <si>
    <t>platform_depth</t>
  </si>
  <si>
    <t>x_carriage_nozzle_offset</t>
  </si>
  <si>
    <t xml:space="preserve">y offset from CL of x guides to CL of nozzle </t>
  </si>
  <si>
    <t>hole_spacing_width</t>
  </si>
  <si>
    <t>x_guide_spacing</t>
  </si>
  <si>
    <t>hole_spacing_depth</t>
  </si>
  <si>
    <t>x_guide_length</t>
  </si>
  <si>
    <t>bed_extrusion_size</t>
  </si>
  <si>
    <t>x_min_bed_offset</t>
  </si>
  <si>
    <t>for dual z axis, the minimum distance between the z linear guide CL and the edge of the heated bed</t>
  </si>
  <si>
    <t>bed_frame_width</t>
  </si>
  <si>
    <t>bed_frame_depth</t>
  </si>
  <si>
    <t>bed_cl_y_offset</t>
  </si>
  <si>
    <t>Y Axis</t>
  </si>
  <si>
    <t>T8_screw_length</t>
  </si>
  <si>
    <t>y_carriage_travel_min</t>
  </si>
  <si>
    <t>bracket_size</t>
  </si>
  <si>
    <t>y_min_offset</t>
  </si>
  <si>
    <t>y min offset from inside of frame = width of XY motor mount</t>
  </si>
  <si>
    <t>z_height_up</t>
  </si>
  <si>
    <t>y_max_offset</t>
  </si>
  <si>
    <t>y max offset from inside of frame = thickness of XY idler</t>
  </si>
  <si>
    <t>z_height_down</t>
  </si>
  <si>
    <t>y_carriage_depth</t>
  </si>
  <si>
    <t>2 x length of LM10UU bearing</t>
  </si>
  <si>
    <t>bed_thickness</t>
  </si>
  <si>
    <t>y_carriage_width</t>
  </si>
  <si>
    <t>from CL of Y axis guide to inside edge</t>
  </si>
  <si>
    <t>y_guide_min_spacing</t>
  </si>
  <si>
    <t>length of x axis guides</t>
  </si>
  <si>
    <t>Build Platform</t>
  </si>
  <si>
    <t>y_guide_length</t>
  </si>
  <si>
    <t>X width</t>
  </si>
  <si>
    <t>Y depth</t>
  </si>
  <si>
    <t>Z Axis</t>
  </si>
  <si>
    <t>X spacing</t>
  </si>
  <si>
    <t>z_bed_travel_req</t>
  </si>
  <si>
    <t>Note: lead screw should be this length + nut length</t>
  </si>
  <si>
    <t>Y spacing</t>
  </si>
  <si>
    <t>z_nozzle_offset</t>
  </si>
  <si>
    <t>Distance from top of frame to underside of nozzle</t>
  </si>
  <si>
    <t>Bracket size</t>
  </si>
  <si>
    <t>z_bed_height</t>
  </si>
  <si>
    <t>Distance from bottom of Z bearing holder to print surface</t>
  </si>
  <si>
    <t>z_min_offset</t>
  </si>
  <si>
    <t>Distance from bottom of frame to underside of Z bearing holder in Z Max position (bottom)</t>
  </si>
  <si>
    <t>z_guide_diameter</t>
  </si>
  <si>
    <t>Z linear guide diameter</t>
  </si>
  <si>
    <t>z_guide_y_offset</t>
  </si>
  <si>
    <t>CL offset from inside of frame</t>
  </si>
  <si>
    <t>z_guide_length</t>
  </si>
  <si>
    <t>Z_elec_enclosure</t>
  </si>
  <si>
    <t>Z_uppper_ext</t>
  </si>
  <si>
    <t>Single Z</t>
  </si>
  <si>
    <t>Double Z</t>
  </si>
  <si>
    <t>min_frame_width</t>
  </si>
  <si>
    <t>min_frame_depth</t>
  </si>
  <si>
    <t>min_frame_height</t>
  </si>
  <si>
    <t>min_bed_frame_width</t>
  </si>
  <si>
    <t>min_bed_frame_depth</t>
  </si>
  <si>
    <t>bed_mounting_width</t>
  </si>
  <si>
    <t>bed_mounting_depth</t>
  </si>
  <si>
    <t xml:space="preserve"> HyperCube </t>
  </si>
  <si>
    <r>
      <t>Evolution</t>
    </r>
    <r>
      <rPr>
        <sz val="12"/>
        <rFont val="Courier New"/>
        <family val="3"/>
      </rPr>
      <t xml:space="preserve"> </t>
    </r>
  </si>
  <si>
    <t>Configurator</t>
  </si>
  <si>
    <t>v1.4</t>
  </si>
  <si>
    <t>Build platform data</t>
  </si>
  <si>
    <t>Dimensions</t>
  </si>
  <si>
    <t>Mounting Holes</t>
  </si>
  <si>
    <t>Name</t>
  </si>
  <si>
    <t>Mk2 Heat Bed</t>
  </si>
  <si>
    <t>&lt;- Minimum supported size. Do not change</t>
  </si>
  <si>
    <t>Mk2A 300x300</t>
  </si>
  <si>
    <t>Custom</t>
  </si>
  <si>
    <t>Min. Build Volume / Travel</t>
  </si>
  <si>
    <t>&lt;- Select</t>
  </si>
  <si>
    <t>Double</t>
  </si>
  <si>
    <t>Build platform mounting bracket data</t>
  </si>
  <si>
    <t>Bed_bracket_15</t>
  </si>
  <si>
    <t>Dimension</t>
  </si>
  <si>
    <t>offset</t>
  </si>
  <si>
    <t>X axis</t>
  </si>
  <si>
    <t xml:space="preserve">Diam 8 </t>
  </si>
  <si>
    <t>Thanks to Nicolas Harscoat</t>
  </si>
  <si>
    <t>Bed_bracket_20</t>
  </si>
  <si>
    <t>Y axis</t>
  </si>
  <si>
    <t>Diam 10</t>
  </si>
  <si>
    <t>for the part selector</t>
  </si>
  <si>
    <t>Bed_bracket_25</t>
  </si>
  <si>
    <t>Z axis</t>
  </si>
  <si>
    <t xml:space="preserve">Diam 12 </t>
  </si>
  <si>
    <t>Bed_bracket_30</t>
  </si>
  <si>
    <t>Bed_bracket_45</t>
  </si>
  <si>
    <t>BOM - Extrusions and linear guides</t>
  </si>
  <si>
    <t>Item</t>
  </si>
  <si>
    <t>Length</t>
  </si>
  <si>
    <t>Note</t>
  </si>
  <si>
    <t>3030 Extrusion</t>
  </si>
  <si>
    <t>Frame X extrusion</t>
  </si>
  <si>
    <t>Frame Y extrusion</t>
  </si>
  <si>
    <t>Frame Z extrusion</t>
  </si>
  <si>
    <t>2020 Extrusion</t>
  </si>
  <si>
    <t>Bed frame X extrusion</t>
  </si>
  <si>
    <t>Bed frame Y extrusion</t>
  </si>
  <si>
    <t>Shaft</t>
  </si>
  <si>
    <t>X axis linear guide</t>
  </si>
  <si>
    <t>Y axis linear guide</t>
  </si>
  <si>
    <t>Z axis linear guide</t>
  </si>
  <si>
    <t>Single</t>
  </si>
  <si>
    <t>Printed part quantities</t>
  </si>
  <si>
    <t>X Axis Versions</t>
  </si>
  <si>
    <t>Y Axis Versions</t>
  </si>
  <si>
    <t>Z Axis Versions</t>
  </si>
  <si>
    <t>Notes</t>
  </si>
  <si>
    <t>X-Carriage</t>
  </si>
  <si>
    <t>Belt_Clamp</t>
  </si>
  <si>
    <t>Belt_Tensioner</t>
  </si>
  <si>
    <t>Extruder_Mount</t>
  </si>
  <si>
    <t>Retainer</t>
  </si>
  <si>
    <t>T_Slot_Cover</t>
  </si>
  <si>
    <t>As needed</t>
  </si>
  <si>
    <t>X_End_Stop_Flag</t>
  </si>
  <si>
    <t>XY_Idler_Mount_Left</t>
  </si>
  <si>
    <t>XY_Idler_Mount_Right</t>
  </si>
  <si>
    <t>XY_Stepper_Mount Left</t>
  </si>
  <si>
    <t>XY_Stepper_Mount Right</t>
  </si>
  <si>
    <t>Y_End_Stop_Bracket</t>
  </si>
  <si>
    <t>Y_End_Stop_Flag</t>
  </si>
  <si>
    <t>Z_Nut_Braket</t>
  </si>
  <si>
    <t>L brackets 3030 (Innenwinkel Zamak 30 B typ Nut 8)</t>
  </si>
  <si>
    <t>GT2 20T 5mm bore for 6mm belt (Motor Gear)</t>
  </si>
  <si>
    <t>Miscellaneous</t>
  </si>
  <si>
    <t>Rubber Feet</t>
  </si>
  <si>
    <t>Emergency Switch</t>
  </si>
  <si>
    <t>3D Printer Printed Parts</t>
  </si>
  <si>
    <t>Part Name</t>
  </si>
  <si>
    <t>Alternate Shop</t>
  </si>
  <si>
    <t>https://www.amazon.de/gp/product/B078MK7T71/ref=ox_sc_act_title_1?smid=A5QX2SUPA7LK7&amp;psc=1</t>
  </si>
  <si>
    <t>LM8UU linear bearing (Misumi)</t>
  </si>
  <si>
    <t>LM10LUU linear bearing (long) (Misumi)</t>
  </si>
  <si>
    <t>https://www.roboter-bausatz.de/p/misumi-lm8uu-lmu8-linearlager</t>
  </si>
  <si>
    <t>MK3 Heat bed 214x214mm</t>
  </si>
  <si>
    <t>3mm Borosilicate Glass 214 x 200 mm</t>
  </si>
  <si>
    <t>Roboter Bausatz</t>
  </si>
  <si>
    <t>Cable ties x 100</t>
  </si>
  <si>
    <t>GT2 teethed Idler with 3mm bore for 6mm belt</t>
  </si>
  <si>
    <t>https://www.roboter-bausatz.de/p/gt2-riemenscheibe-20-zaehne-3mm-bohrung-mit-dual-kugellager</t>
  </si>
  <si>
    <t>https://www.roboter-bausatz.de/p/gt2-zahnriemen-flachriemenscheibe-3mm-bohrung-fuer-6mm-zahnriemen</t>
  </si>
  <si>
    <t>https://www.roboter-bausatz.de/p/gt2-riemenscheibe-zahnrad-8mm-bohrung-40-zaehne-6mm-zahnriemen</t>
  </si>
  <si>
    <t>Workshop Printer 200x200 BOM</t>
  </si>
  <si>
    <t>Inductive probe 6-36V</t>
  </si>
  <si>
    <t>Single-Z</t>
  </si>
  <si>
    <t>Pcs</t>
  </si>
  <si>
    <t>Standard</t>
  </si>
  <si>
    <t>ISO 4762</t>
  </si>
  <si>
    <t>M3x8</t>
  </si>
  <si>
    <t>M3x10</t>
  </si>
  <si>
    <t>M3x12</t>
  </si>
  <si>
    <t>M3x14</t>
  </si>
  <si>
    <t>M3x16</t>
  </si>
  <si>
    <t>M3x20</t>
  </si>
  <si>
    <t>M3x25</t>
  </si>
  <si>
    <t>M3x30</t>
  </si>
  <si>
    <t>ISO 7090</t>
  </si>
  <si>
    <t>Washer</t>
  </si>
  <si>
    <t>D3.2</t>
  </si>
  <si>
    <t>ISO 4033</t>
  </si>
  <si>
    <t>Nut</t>
  </si>
  <si>
    <t>M3</t>
  </si>
  <si>
    <t>ISO 2338</t>
  </si>
  <si>
    <t xml:space="preserve">Pin </t>
  </si>
  <si>
    <t>d3</t>
  </si>
  <si>
    <t xml:space="preserve">M3 </t>
  </si>
  <si>
    <t>XY Stepper L</t>
  </si>
  <si>
    <t>XY Stepper R</t>
  </si>
  <si>
    <t>XY Idler Mount L</t>
  </si>
  <si>
    <t>XY Idler Mount R</t>
  </si>
  <si>
    <t>M3 Nut</t>
  </si>
  <si>
    <t>Part</t>
  </si>
  <si>
    <t>Fastener</t>
  </si>
  <si>
    <t>Z Axis Linear Rail Bracket Assem Right</t>
  </si>
  <si>
    <t>Z Axis Linear Rail Bracket Assem Left</t>
  </si>
  <si>
    <t>50mmx15mm 24V radial fan for part cooling</t>
  </si>
  <si>
    <t>Silicon Dampers (1 set of 4)</t>
  </si>
  <si>
    <t>https://www.ebay.de/itm/124702230178</t>
  </si>
  <si>
    <t>M5x10</t>
  </si>
  <si>
    <t>M5 Hammernut</t>
  </si>
  <si>
    <t>Part Qty</t>
  </si>
  <si>
    <t>Fastener Qty</t>
  </si>
  <si>
    <t>Fan Duct</t>
  </si>
  <si>
    <t>100KOhm 3950 Bed Thermister</t>
  </si>
  <si>
    <t>https://www.roboter-bausatz.de/p/thermistor-ntc-3950-100k-ohm-mit-1m-anschlusskabel-2-pin</t>
  </si>
  <si>
    <t>Shipping</t>
  </si>
  <si>
    <t>GT2 belt 6mm wide (1078)mm -use 1100 mm belt</t>
  </si>
  <si>
    <t xml:space="preserve">Hotend </t>
  </si>
  <si>
    <t>Quick Connect Crimp</t>
  </si>
  <si>
    <t>Part Cooling Fan</t>
  </si>
  <si>
    <t>Hotend Fan</t>
  </si>
  <si>
    <t># Pol Wires</t>
  </si>
  <si>
    <t>Y-axis Endstop</t>
  </si>
  <si>
    <t>X-axis EndStop</t>
  </si>
  <si>
    <t>Thermister</t>
  </si>
  <si>
    <t>Extruder Motor</t>
  </si>
  <si>
    <t>X-axis Stepper motor</t>
  </si>
  <si>
    <t>JST-XT motor to Controller board</t>
  </si>
  <si>
    <t>Y-axis Stepper Motor</t>
  </si>
  <si>
    <t>Z-axis Stepper Motor</t>
  </si>
  <si>
    <t>Inductive Probe</t>
  </si>
  <si>
    <t xml:space="preserve">Single Motor Z Drive Assembly </t>
  </si>
  <si>
    <t xml:space="preserve">Printed Housing </t>
  </si>
  <si>
    <t>Printed Cover</t>
  </si>
  <si>
    <t xml:space="preserve">Toothless GT2 20T 3 mm Bore Idle Pulley </t>
  </si>
  <si>
    <t xml:space="preserve">Toothed GT2 20T 3 mm Bore Idle Pulley </t>
  </si>
  <si>
    <t>Nema 17 Motor</t>
  </si>
  <si>
    <t>Toothed GT2 20T Drive Pulley 5 mm Bore</t>
  </si>
  <si>
    <t>Printed Screw Bolt</t>
  </si>
  <si>
    <t>M3x18</t>
  </si>
  <si>
    <t>M3x8 Bolt</t>
  </si>
  <si>
    <t>M3x18 Housing</t>
  </si>
  <si>
    <t>Z - Axis Bearing Holder</t>
  </si>
  <si>
    <t>LM12UU Bearings</t>
  </si>
  <si>
    <t xml:space="preserve">M5x10 Long Bolts </t>
  </si>
  <si>
    <t>Corner Brackets 2020</t>
  </si>
  <si>
    <t>M5 2020 Hammer Nuts</t>
  </si>
  <si>
    <t>Z Nut Bracket</t>
  </si>
  <si>
    <t>Sub Part</t>
  </si>
  <si>
    <t xml:space="preserve">2020 Profiles </t>
  </si>
  <si>
    <t>M5x10 Bolts</t>
  </si>
  <si>
    <t xml:space="preserve">Trapezoidal Lead Screw Nuts </t>
  </si>
  <si>
    <t>M3x12 Bolts</t>
  </si>
  <si>
    <t xml:space="preserve">Bed Bracket </t>
  </si>
  <si>
    <t>M3x40 Bolts with Springs</t>
  </si>
  <si>
    <t>M3 Hand Tightening Nuts</t>
  </si>
  <si>
    <t>Z Bottom Bearing Holder</t>
  </si>
  <si>
    <t>Left and Right</t>
  </si>
  <si>
    <t>Lead Screw with Z Mount Assembly</t>
  </si>
  <si>
    <t>8 mm Lead Screw</t>
  </si>
  <si>
    <t>608ZZ Bearings</t>
  </si>
  <si>
    <t>GT2 40 Teethed 8mm Bore Pulley</t>
  </si>
  <si>
    <t>M5 Hammer Nuts</t>
  </si>
  <si>
    <t xml:space="preserve">1100 mm Long, 6mm Wide Closed GT2 Belt </t>
  </si>
  <si>
    <t xml:space="preserve">Cable Chain Assebly </t>
  </si>
  <si>
    <t>X Cable Chain</t>
  </si>
  <si>
    <t>Y Cable Chain</t>
  </si>
  <si>
    <t xml:space="preserve">X-Y Cable Chain Connector </t>
  </si>
  <si>
    <t>Top and Bottom</t>
  </si>
  <si>
    <t xml:space="preserve">Y Cable Chain to Frame Connector </t>
  </si>
  <si>
    <t>M3 Nuts</t>
  </si>
  <si>
    <t>X Cable Chain to Extruder Connector</t>
  </si>
  <si>
    <t>M3x6 Bolts</t>
  </si>
  <si>
    <t>M3x8 Bolts</t>
  </si>
  <si>
    <t>M3x14 Bolts</t>
  </si>
  <si>
    <t>Z Bottom Bearing Nuts</t>
  </si>
  <si>
    <t>X - Axis Assembly</t>
  </si>
  <si>
    <t>Y Carriage Assembly</t>
  </si>
  <si>
    <t>Y Carriage</t>
  </si>
  <si>
    <t xml:space="preserve">3mm 20 Teethed Bore Smooth Idler Pulley </t>
  </si>
  <si>
    <t xml:space="preserve">3mm 20 Teethed Bore Unsmoothed Idler Pulley </t>
  </si>
  <si>
    <t>M3x30 Bolts</t>
  </si>
  <si>
    <t>M3x40 Bolts</t>
  </si>
  <si>
    <t>M3 Heat Sets Inserts</t>
  </si>
  <si>
    <t>X-End Stop Flag</t>
  </si>
  <si>
    <t>Y End Stop Flag</t>
  </si>
  <si>
    <t>Y Carriage Clamps</t>
  </si>
  <si>
    <t>M3x16 Bolts</t>
  </si>
  <si>
    <t>8 mm Rods</t>
  </si>
  <si>
    <t xml:space="preserve">LMUW10 Bearing </t>
  </si>
  <si>
    <t>X Carriage Assembly</t>
  </si>
  <si>
    <t>X Carriage</t>
  </si>
  <si>
    <t>LM8UU Bearings</t>
  </si>
  <si>
    <t xml:space="preserve">Belt Tensioners </t>
  </si>
  <si>
    <t>Belt Clamp</t>
  </si>
  <si>
    <t>Belt Clamp + X Cable Chain Connectors</t>
  </si>
  <si>
    <t>3mm Wide, 12mm Long Double Pins</t>
  </si>
  <si>
    <t xml:space="preserve">3mm MK3 Heat Bed </t>
  </si>
  <si>
    <t>Power Wires</t>
  </si>
  <si>
    <t>NTC Thermistor</t>
  </si>
  <si>
    <t>Kapton Tape</t>
  </si>
  <si>
    <t>3mm Borosilicate Glass Plate</t>
  </si>
  <si>
    <t>Z Axis Linear Rail Bracket Assem Tall Right (Uppermount)</t>
  </si>
  <si>
    <t>Z Axis Linear Rail Bracket Assem Tall Left (Uppermount)</t>
  </si>
  <si>
    <t xml:space="preserve">XY Stepper Motor Assembly </t>
  </si>
  <si>
    <t>XY Stepper Motor</t>
  </si>
  <si>
    <t>M3x20 Bolts</t>
  </si>
  <si>
    <t>M3x10 Bolts</t>
  </si>
  <si>
    <t>XY Idler Assembly</t>
  </si>
  <si>
    <t xml:space="preserve">XY Idler </t>
  </si>
  <si>
    <t>M3 Shim Wahser</t>
  </si>
  <si>
    <t>3mm Bore GT2 Pulleys</t>
  </si>
  <si>
    <t>20 Teethed 5 mm Bore Pulley</t>
  </si>
  <si>
    <t>LM10UU Bearings</t>
  </si>
  <si>
    <t>340mm Wide 10mm Long Smooth Rod</t>
  </si>
  <si>
    <t>Y - Axis Endstop Assembly</t>
  </si>
  <si>
    <t>Endstop Housing</t>
  </si>
  <si>
    <t>Endstop Cover</t>
  </si>
  <si>
    <t>Mechanical Endstop</t>
  </si>
  <si>
    <t>Endstop Bracket</t>
  </si>
  <si>
    <t xml:space="preserve">XY Assembly </t>
  </si>
  <si>
    <t>1.4m Long Belts</t>
  </si>
  <si>
    <t>Y - Axis  Assembly Left</t>
  </si>
  <si>
    <t>Y - Axis  Assembly Right</t>
  </si>
  <si>
    <t>Hotend Side</t>
  </si>
  <si>
    <t>Controller Board Side</t>
  </si>
  <si>
    <t>2Pin JST connector</t>
  </si>
  <si>
    <t>Crimped Ferrules</t>
  </si>
  <si>
    <t>3Pin JST to Xmin Endstop</t>
  </si>
  <si>
    <t>4Pin JST</t>
  </si>
  <si>
    <t>3Pin JST Connector</t>
  </si>
  <si>
    <t>Print Head Wires</t>
  </si>
  <si>
    <t>Inline wiring to NPN transistor and 2 10 Kohm resistors</t>
  </si>
  <si>
    <t>Other Wirings</t>
  </si>
  <si>
    <t>LEDs</t>
  </si>
  <si>
    <t>#Pol Wires</t>
  </si>
  <si>
    <t>Wiring type</t>
  </si>
  <si>
    <t>Soldered on Endstop and JST pin to Ymin Endstop pins on Controller board</t>
  </si>
  <si>
    <t>PSU</t>
  </si>
  <si>
    <t>14AWG wires from PSU to Power port + and -</t>
  </si>
  <si>
    <t>LED Controller</t>
  </si>
  <si>
    <t>DC barrel jack female from 12V DC-DC Converter</t>
  </si>
  <si>
    <t>Aluminium Milled Plate with Silicon Bed Heater</t>
  </si>
  <si>
    <t>MK3 Heatbed</t>
  </si>
  <si>
    <t>NTC thermister</t>
  </si>
  <si>
    <t>MK3 Heatbed 214x214mm</t>
  </si>
  <si>
    <t>Silicon Bed levelling supports</t>
  </si>
  <si>
    <t>Z_Motor_Drive_Tensioner_Screw</t>
  </si>
  <si>
    <t>Z_Motor_Drive_Tensioner_Nut</t>
  </si>
  <si>
    <t>Z_LeadScrew_Bracket</t>
  </si>
  <si>
    <t>Z_LeadScrew_Nut</t>
  </si>
  <si>
    <t>Corner Brackets 3030</t>
  </si>
  <si>
    <t>L Brackets 3030</t>
  </si>
  <si>
    <t>L Brackets 2020</t>
  </si>
  <si>
    <t>Connectors</t>
  </si>
  <si>
    <t>Note:- Choosing 2020 profiles for main frame instead of 3030 profiles saves 25 Euros</t>
  </si>
  <si>
    <t>Aluminium plate 5mm</t>
  </si>
  <si>
    <t>Silicon Cable 0.5mm2 1m</t>
  </si>
  <si>
    <t>https://www.roboter-bausatz.de/p/1-meter-heizbett-kabel</t>
  </si>
  <si>
    <t>https://www.roboter-bausatz.de/p/mk3-heizbett-214x214-mm-12v-24v-schwarz?sPartner=8&amp;gclid=Cj0KCQjwk4yGBhDQARIsACGfAetsFUpc96JJa_tK-ZKz4hR5Z5bAgQqfjIZ6pdG9sRtTdrP6pxQysNEaAguiEALw_wcB</t>
  </si>
  <si>
    <t>https://www.roboter-bausatz.de/p/borosilikat-glasplatte-fuer-mk2-heizbett-200-213-3mm</t>
  </si>
  <si>
    <t>https://www.roboter-bausatz.de/p/induktiver-sensor-lj12a3-4-z-bx-dc6-36v</t>
  </si>
  <si>
    <t>DC Power connector Adapter</t>
  </si>
  <si>
    <t>https://www.roboter-bausatz.de/p/dc-power-connector-adapter?sPartner=8&amp;gclid=Cj0KCQjwub-HBhCyARIsAPctr7zhn1nHO1fYYrPHw7z8HUrNS64CoN7g2kstiK84REvHgYWIvXPrmikaAtnBEALw_wcB</t>
  </si>
  <si>
    <t>RGB Controller</t>
  </si>
  <si>
    <t>https://www.roboter-bausatz.de/p/44-tasten-ir-control-box-fuer-rgb-led-strips-mit-fernbedienung</t>
  </si>
  <si>
    <t>https://www.roboter-bausatz.de/p/5x-spannungswandler-lm2596s-dc-dc-step-down-regler?number=RBS10234</t>
  </si>
  <si>
    <t>Bowden quick connecter PC4-M10 for 1.75mm filament (pack of 10)</t>
  </si>
  <si>
    <t>https://www.amazon.de/gp/product/B078SLGZ42/ref=ppx_yo_dt_b_asin_title_o02_s01?ie=UTF8&amp;psc=1</t>
  </si>
  <si>
    <t>https://www.roboter-bausatz.de/p/100-kabelbinder-rot-2-5-100mm</t>
  </si>
  <si>
    <t>Toggle Switch (Pack of 12)</t>
  </si>
  <si>
    <t>https://www.amazon.de/gp/product/B08ML6DWTS/ref=ppx_yo_dt_b_asin_title_o05_s01?ie=UTF8&amp;psc=1</t>
  </si>
  <si>
    <t>https://www.ebay.de/itm/124714465043</t>
  </si>
  <si>
    <t>4core 0.5mm2 Cable (10m)</t>
  </si>
  <si>
    <t>https://www.amazon.de/gp/product/B07PK9CCNK/ref=ppx_yo_dt_b_asin_title_o09_s00?ie=UTF8&amp;psc=1</t>
  </si>
  <si>
    <t>Power Switch with cable (pack of 3)</t>
  </si>
  <si>
    <t>https://www.roboter-bausatz.de/p/1-meter-ptfe-schlauch-4-mm-x-2-mm-fuer-bowden-extruder</t>
  </si>
  <si>
    <t>https://www.roboter-bausatz.de/p/radial-luefter-40-20mm-12v?number=RBS11818</t>
  </si>
  <si>
    <t>https://www.roboter-bausatz.de/p/trapezgewindespindel-350x8mm-mit-messingmutter</t>
  </si>
  <si>
    <t>Titanium Heatbreak 1.75mm</t>
  </si>
  <si>
    <t>https://www.aliexpress.com/item/32853548000.html?spm=a2g0s.9042311.0.0.21416c37lXTEUW</t>
  </si>
  <si>
    <t>E3D V6 Hotend (Clone) 24V All metal 1.75mm</t>
  </si>
  <si>
    <t>https://fr.aliexpress.com/item/32844028127.html?spm=a2g0s.9042311.0.0.21416c37lXTEUW</t>
  </si>
  <si>
    <t>Sherpa mini Extruder kit (w/o printed parts)</t>
  </si>
  <si>
    <t>https://fr.aliexpress.com/item/1005002192629947.html?spm=a2g0o.productlist.0.0.28f37d77HNiYFy&amp;algo_pvid=a424c8a9-4b08-41c8-a8ec-0a33cc938eb6&amp;algo_exp_id=a424c8a9-4b08-41c8-a8ec-0a33cc938eb6-9</t>
  </si>
  <si>
    <t>With printed parts costs 40 Euros - https://fr.aliexpress.com/item/1005002487727392.html?spm=a2g0o.productlist.0.0.28f37d77HNiYFy&amp;algo_pvid=a424c8a9-4b08-41c8-a8ec-0a33cc938eb6&amp;algo_exp_id=a424c8a9-4b08-41c8-a8ec-0a33cc938eb6-1</t>
  </si>
  <si>
    <t>https://www.motedis.com/shop/Slot-profile-accessories/Bracket-for-Aluminium-profiles/Bracket-20x20-B-type-slot-6::1062.html</t>
  </si>
  <si>
    <t>https://www.motedis.com/shop/Slot-profile-accessories/Bracket-for-Aluminium-profiles/Bracket-30-B-Type-slot-8::1057.html</t>
  </si>
  <si>
    <t>https://www.motedis.com/shop/Slot-profiles/Profile-30x30-B-Type-Slot-8::432.html</t>
  </si>
  <si>
    <t>https://www.ebay.de/itm/402783814240?ssPageName=STRK%3AMEBIDX%3AIT&amp;_trksid=p2060353.m2749.l2649</t>
  </si>
  <si>
    <t>https://www.ebay.de/itm/302394946418?ssPageName=STRK%3AMEBIDX%3AIT&amp;_trksid=p2060353.m2749.l2649</t>
  </si>
  <si>
    <t>reichelt.de</t>
  </si>
  <si>
    <t>2.5mm2 Red cable - 0.5m</t>
  </si>
  <si>
    <t>2.5mm2 black cable - 0.5m</t>
  </si>
  <si>
    <t>Tools</t>
  </si>
  <si>
    <t>Wire cutter/Crimper</t>
  </si>
  <si>
    <t>https://www.voelkner.de/products/1196183/TOOLCRAFT-TO-4861962-Multifunktionszange-0.5-bis-2mm.html?offer=1cee0a7391aa5e6a2b8f2308a30f880c</t>
  </si>
  <si>
    <t>JST Crimper</t>
  </si>
  <si>
    <t>https://www.amazon.de/gp/product/B08F4SVS2Y/ref=ppx_yo_dt_b_asin_title_o07_s01?ie=UTF8&amp;psc=1</t>
  </si>
  <si>
    <t>https://de.aliexpress.com/item/4000285239926.html?spm=a2g0o.productlist.0.0.3fdd24e5TEcyn6&amp;algo_pvid=976e0751-ab91-4b3c-a0e7-8a886efa540b&amp;algo_exp_id=976e0751-ab91-4b3c-a0e7-8a886efa540b-1</t>
  </si>
  <si>
    <t>M3 D5x5</t>
  </si>
  <si>
    <t>Alt. URL</t>
  </si>
  <si>
    <t>https://de.aliexpress.com/item/10000360515126.html?spm=a2g0o.productlist.0.0.240f200bFwk5cY&amp;algo_pvid=acc1596a-0aac-4adc-8680-b60bb8d623f8&amp;aem_p4p_detail=20210726000617879976390630970000518522&amp;algo_exp_id=acc1596a-0aac-4adc-8680-b60bb8d623f8-6</t>
  </si>
  <si>
    <t>https://www.amazon.de/-/en/Geeetech-PETG-Filament/dp/B08BZPZRFK/ref=sr_1_6?crid=38C95P6MT8XE&amp;dchild=1&amp;keywords=petg%2Bfilament%2B1.75&amp;qid=1627287640&amp;smid=AI23D32MGLX4Z&amp;sprefix=petg%2Caps%2C234&amp;sr=8-6&amp;th=1</t>
  </si>
  <si>
    <t>Length (m)</t>
  </si>
  <si>
    <t>Qty 10 Kits</t>
  </si>
  <si>
    <t>Power Cable</t>
  </si>
  <si>
    <t>Reichelt.de</t>
  </si>
  <si>
    <t>https://www.reichelt.de/netzkabel-schutzkontaktstecker-3-m-schw-c13-nksk-300-sw-gg-p139465.html?&amp;nbc=1</t>
  </si>
  <si>
    <t xml:space="preserve">M5 hammer nuts - 3030 nut 8 </t>
  </si>
  <si>
    <t>https://www.schraubenhandel24.de/iso-7380-flachrundkopfschrauben-stahl-10-9-m5x10-500st/</t>
  </si>
  <si>
    <t>https://www.schraubenhandel24.de/din-7984-zylinderschrauben-edelstahl-a2-m6x12-100st/</t>
  </si>
  <si>
    <t>https://www.aliexpress.com/item/4000585933306.html?spm=a2g0o.cart.0.0.61613c00zbrVVS&amp;mp=1</t>
  </si>
  <si>
    <t>Watterot, Stepperonline</t>
  </si>
  <si>
    <t>In Cart</t>
  </si>
  <si>
    <t>https://www.motedis.com/shop/Slot-profiles/Profile-20x20-B-type-slot-6::1.html</t>
  </si>
  <si>
    <t>Bracket 30 B-Type slot 8</t>
  </si>
  <si>
    <t>Bracket 20 B-Type slot 6</t>
  </si>
  <si>
    <t>Schraubenhandel24</t>
  </si>
  <si>
    <t>GT2 gates Belt 6mm wide</t>
  </si>
  <si>
    <t>Printhead</t>
  </si>
  <si>
    <t>2021 Frame</t>
  </si>
  <si>
    <t>3031 Frame</t>
  </si>
  <si>
    <t>3032 Frame</t>
  </si>
  <si>
    <t>PTFE tube 2mm ID and 4mm OD</t>
  </si>
  <si>
    <t>https://www.motedis.com/shop/Workshop-supplies-Consumables/For-3D-Printer/Accessories-for-3D-Printers/PTFE-filament-tubing-2-4mm-1000mm::3733.html</t>
  </si>
  <si>
    <t>M6 hammer nuts - 3030 nut 8</t>
  </si>
  <si>
    <t>M6 x 12 cylindrical hex screws - din 912</t>
  </si>
  <si>
    <t>8 mm shaft - Z - 330mm</t>
  </si>
  <si>
    <t>Ordered</t>
  </si>
  <si>
    <t>LM8UU linear bearing</t>
  </si>
  <si>
    <t>Levelling nuts</t>
  </si>
  <si>
    <t>Levelling screws m3x35</t>
  </si>
  <si>
    <t>schraubenhandel24</t>
  </si>
  <si>
    <t>https://www.schraubenhandel24.de/din-912-zylinderschrauben-edelstahl-a2-m3x35-100st/</t>
  </si>
  <si>
    <t>-</t>
  </si>
  <si>
    <t>LM2596s Step down converter</t>
  </si>
  <si>
    <t>608zz Bearings</t>
  </si>
  <si>
    <t>https://www.roboter-bausatz.de/p/10-x-kugellager-608.zz-8-22-7-mm</t>
  </si>
  <si>
    <t>Check rest on ebay</t>
  </si>
  <si>
    <t>Find on stepperonline</t>
  </si>
  <si>
    <t>https://www.ledpanelgrosshandel.de/led-streifen-kabel-rgb-awg22-50m</t>
  </si>
  <si>
    <t>LedPanelgrosshandel</t>
  </si>
  <si>
    <t>https://www.reichelt.de/microsdhc-speicherkarte-16gb-intenso-intenso-msdhc16g-p110349.html?&amp;nbc=1</t>
  </si>
  <si>
    <t>https://www.amazon.de/-/en/gp/product/B099WT1VFS?pf_rd_r=9SZDJW30NS1528MM34XT&amp;pf_rd_p=f6634045-2cd8-4654-8338-b9246a89c6f1&amp;pd_rd_r=13e030e5-2b6d-43e0-8a47-edd0ab293e5d&amp;pd_rd_w=jAzsg&amp;pd_rd_wg=ueB2j&amp;ref_=pd_gw_unk</t>
  </si>
  <si>
    <t>SD Card - minimum 4Gb</t>
  </si>
  <si>
    <t>Gtech-shop.de</t>
  </si>
  <si>
    <t>https://gtech-shop.de/GT2-Zahnriemen-6mm-breit-geschlossen-1100mm-550-Zaehne</t>
  </si>
  <si>
    <t>ordered</t>
  </si>
  <si>
    <t>0.5mm2 red silicon cable (1m)</t>
  </si>
  <si>
    <t>0.5mm2 black silicon cable (1m)</t>
  </si>
  <si>
    <t>M5 x 12 Button head Cap screw - iso 7380</t>
  </si>
  <si>
    <t>Silicon Power Wiring</t>
  </si>
  <si>
    <t xml:space="preserve">M4 x 12 Button Head Cap Screws - ISO 7380 </t>
  </si>
  <si>
    <t>Shrink tubing set</t>
  </si>
  <si>
    <t>https://www.amazon.de/gp/product/B0872PZG3P/ref=ox_sc_act_title_1?smid=A2PDU60QHTRQDI&amp;psc=1</t>
  </si>
  <si>
    <t>https://www.reichelt.de/de/en/micro-switch-1x-no-flat-lever-ss-5gl-p243166.html?search=OMron+ss&amp;&amp;r=1</t>
  </si>
  <si>
    <t>Cable Carrier 10x20mm</t>
  </si>
  <si>
    <t>Mechanical EndStop for X axis</t>
  </si>
  <si>
    <t>Cable shoe set (2.5mm2 x2, 0.5mm2x10) set</t>
  </si>
  <si>
    <t>https://www.amazon.de/GTIWUNG-Mechanischer-Endschalter-3D-Drucker-Makerbot/dp/B07VWRS24K/ref=sr_1_2_sspa?__mk_de_DE=%C3%85M%C3%85%C5%BD%C3%95%C3%91&amp;dchild=1&amp;keywords=makerbot+mechanical+endstop&amp;qid=1628008761&amp;sr=8-2-spons&amp;psc=1&amp;spLa=ZW5jcnlwdGVkUXVhbGlmaWVyPUEyUzRGTFNQUDhITDAwJmVuY3J5cHRlZElkPUEwMDg2NTUyMU5BU0dVNUI4WTdCNyZlbmNyeXB0ZWRBZElkPUEwODI4NTA3MVNCQzdQUlpWQVdITiZ3aWRnZXROYW1lPXNwX2F0ZiZhY3Rpb249Y2xpY2tSZWRpcmVjdCZkb05vdExvZ0NsaWNrPXRydWU=</t>
  </si>
  <si>
    <t>Enclosure Back Sheet (Dibond) 359mm x 449mm x 3mm</t>
  </si>
  <si>
    <t>Enclosure Top (Acrylic) - 359mm x 359mm x 3mm</t>
  </si>
  <si>
    <t>Enclosure Sides &amp; Door Acrylic - 359mm x 449mm x 3mm</t>
  </si>
  <si>
    <t>Electronics Mounting Plate (Dibond 3mm) - 218x329mm x 3mm</t>
  </si>
  <si>
    <t>Lead Screw Tr8x8 - 300mm</t>
  </si>
  <si>
    <t>Reprapworld.de</t>
  </si>
  <si>
    <t>Sheathed 2-core 0.14mm2 cable for endstops</t>
  </si>
  <si>
    <t>https://www.ebay.de/itm/283736151360?var=585226549600</t>
  </si>
  <si>
    <t>120x120x25mm Fan (exhaust)</t>
  </si>
  <si>
    <t>Mechanical EndStops</t>
  </si>
  <si>
    <t>Center punch (Körner)</t>
  </si>
  <si>
    <t>Pollin.de</t>
  </si>
  <si>
    <t>https://www.pollin.de/p/automatischer-koerner-bgs-diy-2070-502300</t>
  </si>
  <si>
    <t>LED Strip 1m - 12V (20mtr)</t>
  </si>
  <si>
    <t>Received</t>
  </si>
  <si>
    <t>Belt Clamp + Cable Chain Bracket</t>
  </si>
  <si>
    <t>Y_Carriage (red)</t>
  </si>
  <si>
    <t>Y_Carriage_Clamp (red)</t>
  </si>
  <si>
    <t>Z_Axis_Bearing_Holder_A</t>
  </si>
  <si>
    <t>Z_Axis_Bearing_Holder_B</t>
  </si>
  <si>
    <t>Z_axis_lower_mount</t>
  </si>
  <si>
    <t>Z_axis_upper_mount</t>
  </si>
  <si>
    <t>Z_dual_drive_housing</t>
  </si>
  <si>
    <t>Z_dual_drive_cover</t>
  </si>
  <si>
    <t>Dupont/JST to LED Controller with Led strip having 30 leds</t>
  </si>
  <si>
    <t>SHCS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</si>
</sst>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ourier New"/>
      <family val="3"/>
    </font>
    <font>
      <sz val="10"/>
      <color theme="1"/>
      <name val="Courier New"/>
      <family val="3"/>
    </font>
    <font>
      <b/>
      <sz val="12"/>
      <name val="Courier New"/>
      <family val="3"/>
    </font>
    <font>
      <b/>
      <sz val="10"/>
      <color theme="1"/>
      <name val="Courier New"/>
      <family val="3"/>
    </font>
    <font>
      <b/>
      <sz val="11"/>
      <name val="Courier New"/>
      <family val="3"/>
    </font>
    <font>
      <b/>
      <i/>
      <sz val="10"/>
      <name val="Courier New"/>
      <family val="3"/>
    </font>
    <font>
      <sz val="11"/>
      <color theme="1"/>
      <name val="Courier New"/>
      <family val="3"/>
    </font>
    <font>
      <sz val="12"/>
      <name val="Courier New"/>
      <family val="3"/>
    </font>
    <font>
      <b/>
      <sz val="20"/>
      <name val="Courier New"/>
      <family val="3"/>
    </font>
    <font>
      <b/>
      <sz val="11"/>
      <color theme="1"/>
      <name val="Courier New"/>
      <family val="3"/>
    </font>
    <font>
      <sz val="11"/>
      <color rgb="FFFF0000"/>
      <name val="Courier New"/>
      <family val="3"/>
    </font>
    <font>
      <u/>
      <sz val="11"/>
      <color theme="10"/>
      <name val="Courier New"/>
      <family val="3"/>
    </font>
    <font>
      <i/>
      <sz val="11"/>
      <color theme="1"/>
      <name val="Courier New"/>
      <family val="3"/>
    </font>
    <font>
      <sz val="11"/>
      <name val="Courier New"/>
      <family val="3"/>
    </font>
    <font>
      <b/>
      <sz val="14"/>
      <name val="Courier New"/>
      <family val="3"/>
    </font>
    <font>
      <sz val="11"/>
      <color theme="0"/>
      <name val="Courier New"/>
      <family val="3"/>
    </font>
    <font>
      <b/>
      <sz val="10"/>
      <name val="Courier New"/>
      <family val="3"/>
    </font>
    <font>
      <sz val="11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2"/>
      <color rgb="FF2E2E2E"/>
      <name val="Menlo"/>
      <family val="2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8" fillId="0" borderId="0"/>
    <xf numFmtId="0" fontId="31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0" xfId="1" applyBorder="1"/>
    <xf numFmtId="0" fontId="2" fillId="2" borderId="0" xfId="1" applyBorder="1" applyAlignment="1">
      <alignment horizontal="center"/>
    </xf>
    <xf numFmtId="0" fontId="2" fillId="3" borderId="0" xfId="2" applyBorder="1"/>
    <xf numFmtId="0" fontId="2" fillId="3" borderId="0" xfId="2" applyBorder="1" applyAlignment="1">
      <alignment horizontal="center"/>
    </xf>
    <xf numFmtId="0" fontId="2" fillId="3" borderId="1" xfId="2" applyBorder="1"/>
    <xf numFmtId="0" fontId="1" fillId="3" borderId="0" xfId="2" applyFont="1" applyBorder="1"/>
    <xf numFmtId="0" fontId="1" fillId="2" borderId="2" xfId="1" applyFont="1" applyBorder="1"/>
    <xf numFmtId="0" fontId="1" fillId="0" borderId="3" xfId="0" applyFont="1" applyBorder="1"/>
    <xf numFmtId="0" fontId="1" fillId="0" borderId="3" xfId="0" applyFont="1" applyFill="1" applyBorder="1"/>
    <xf numFmtId="0" fontId="2" fillId="2" borderId="1" xfId="1" applyBorder="1"/>
    <xf numFmtId="0" fontId="2" fillId="2" borderId="1" xfId="1" applyBorder="1" applyAlignment="1">
      <alignment horizontal="center"/>
    </xf>
    <xf numFmtId="0" fontId="1" fillId="2" borderId="0" xfId="1" applyFont="1" applyBorder="1"/>
    <xf numFmtId="0" fontId="2" fillId="3" borderId="0" xfId="2"/>
    <xf numFmtId="0" fontId="2" fillId="3" borderId="0" xfId="2" applyAlignment="1">
      <alignment horizontal="center"/>
    </xf>
    <xf numFmtId="0" fontId="2" fillId="3" borderId="1" xfId="2" applyBorder="1" applyAlignment="1">
      <alignment horizontal="center"/>
    </xf>
    <xf numFmtId="0" fontId="1" fillId="0" borderId="4" xfId="0" applyFont="1" applyFill="1" applyBorder="1"/>
    <xf numFmtId="0" fontId="1" fillId="3" borderId="0" xfId="2" applyFont="1"/>
    <xf numFmtId="0" fontId="1" fillId="2" borderId="1" xfId="1" applyFont="1" applyBorder="1"/>
    <xf numFmtId="0" fontId="3" fillId="0" borderId="0" xfId="3" applyAlignment="1">
      <alignment horizontal="center"/>
    </xf>
    <xf numFmtId="0" fontId="5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1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1" fillId="6" borderId="0" xfId="0" applyFont="1" applyFill="1"/>
    <xf numFmtId="0" fontId="2" fillId="6" borderId="0" xfId="2" applyFill="1"/>
    <xf numFmtId="0" fontId="2" fillId="6" borderId="0" xfId="2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5" borderId="0" xfId="0" applyFill="1" applyBorder="1"/>
    <xf numFmtId="0" fontId="2" fillId="2" borderId="0" xfId="1"/>
    <xf numFmtId="0" fontId="2" fillId="2" borderId="0" xfId="1" applyAlignment="1">
      <alignment horizontal="center"/>
    </xf>
    <xf numFmtId="0" fontId="0" fillId="5" borderId="0" xfId="0" applyFont="1" applyFill="1"/>
    <xf numFmtId="0" fontId="1" fillId="2" borderId="0" xfId="1" applyFont="1"/>
    <xf numFmtId="0" fontId="0" fillId="0" borderId="2" xfId="0" applyBorder="1"/>
    <xf numFmtId="0" fontId="6" fillId="0" borderId="0" xfId="0" applyFont="1"/>
    <xf numFmtId="0" fontId="0" fillId="0" borderId="0" xfId="0" applyAlignment="1">
      <alignment wrapText="1"/>
    </xf>
    <xf numFmtId="0" fontId="0" fillId="5" borderId="0" xfId="0" applyFont="1" applyFill="1" applyAlignment="1">
      <alignment horizontal="center"/>
    </xf>
    <xf numFmtId="0" fontId="2" fillId="3" borderId="0" xfId="2" applyFont="1" applyBorder="1"/>
    <xf numFmtId="0" fontId="2" fillId="3" borderId="0" xfId="2" applyFont="1" applyBorder="1" applyAlignment="1">
      <alignment horizontal="center"/>
    </xf>
    <xf numFmtId="0" fontId="0" fillId="0" borderId="6" xfId="0" applyFont="1" applyBorder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7" xfId="0" applyFont="1" applyBorder="1" applyAlignment="1">
      <alignment horizontal="left" indent="1"/>
    </xf>
    <xf numFmtId="0" fontId="12" fillId="0" borderId="8" xfId="0" applyFont="1" applyBorder="1" applyAlignment="1">
      <alignment horizontal="left" indent="1"/>
    </xf>
    <xf numFmtId="0" fontId="12" fillId="0" borderId="9" xfId="0" applyFont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10" fillId="0" borderId="1" xfId="0" applyFont="1" applyBorder="1"/>
    <xf numFmtId="0" fontId="10" fillId="0" borderId="10" xfId="0" applyFont="1" applyBorder="1" applyAlignment="1">
      <alignment horizontal="left" indent="1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10" fillId="0" borderId="11" xfId="0" applyFont="1" applyBorder="1"/>
    <xf numFmtId="0" fontId="14" fillId="0" borderId="0" xfId="0" applyFont="1"/>
    <xf numFmtId="0" fontId="10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8" borderId="0" xfId="0" applyFont="1" applyFill="1" applyAlignment="1">
      <alignment horizontal="left" indent="1"/>
    </xf>
    <xf numFmtId="0" fontId="15" fillId="8" borderId="0" xfId="0" applyFont="1" applyFill="1" applyAlignment="1">
      <alignment horizontal="center"/>
    </xf>
    <xf numFmtId="0" fontId="15" fillId="8" borderId="0" xfId="0" applyFont="1" applyFill="1"/>
    <xf numFmtId="0" fontId="0" fillId="0" borderId="11" xfId="0" applyBorder="1"/>
    <xf numFmtId="0" fontId="17" fillId="8" borderId="0" xfId="0" applyFont="1" applyFill="1" applyAlignment="1">
      <alignment horizontal="left" vertical="center" indent="1"/>
    </xf>
    <xf numFmtId="0" fontId="15" fillId="8" borderId="0" xfId="0" quotePrefix="1" applyFont="1" applyFill="1" applyAlignment="1">
      <alignment horizontal="center"/>
    </xf>
    <xf numFmtId="0" fontId="15" fillId="8" borderId="0" xfId="0" applyFont="1" applyFill="1" applyAlignment="1">
      <alignment horizontal="right"/>
    </xf>
    <xf numFmtId="0" fontId="15" fillId="0" borderId="10" xfId="0" applyFont="1" applyBorder="1"/>
    <xf numFmtId="0" fontId="18" fillId="0" borderId="7" xfId="0" applyFont="1" applyBorder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12" xfId="0" applyFont="1" applyBorder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10" xfId="3" applyFont="1" applyBorder="1"/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21" fillId="9" borderId="10" xfId="0" applyFont="1" applyFill="1" applyBorder="1"/>
    <xf numFmtId="0" fontId="21" fillId="9" borderId="4" xfId="0" applyFont="1" applyFill="1" applyBorder="1" applyAlignment="1">
      <alignment horizontal="center"/>
    </xf>
    <xf numFmtId="0" fontId="21" fillId="9" borderId="1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10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5" fillId="9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5" fillId="0" borderId="11" xfId="0" applyFont="1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18" fillId="0" borderId="10" xfId="0" applyFont="1" applyBorder="1" applyAlignment="1">
      <alignment horizontal="left" indent="1"/>
    </xf>
    <xf numFmtId="0" fontId="15" fillId="0" borderId="1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/>
    <xf numFmtId="0" fontId="9" fillId="8" borderId="0" xfId="0" applyFont="1" applyFill="1" applyAlignment="1">
      <alignment horizontal="left" indent="1"/>
    </xf>
    <xf numFmtId="0" fontId="25" fillId="8" borderId="8" xfId="0" applyFont="1" applyFill="1" applyBorder="1" applyAlignment="1">
      <alignment horizontal="center" vertical="center"/>
    </xf>
    <xf numFmtId="0" fontId="25" fillId="8" borderId="9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left" indent="1"/>
    </xf>
    <xf numFmtId="0" fontId="25" fillId="8" borderId="0" xfId="0" applyFont="1" applyFill="1" applyAlignment="1">
      <alignment horizontal="left" indent="1"/>
    </xf>
    <xf numFmtId="0" fontId="9" fillId="8" borderId="4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left" indent="1"/>
    </xf>
    <xf numFmtId="0" fontId="26" fillId="0" borderId="10" xfId="0" applyFont="1" applyBorder="1" applyAlignment="1">
      <alignment horizontal="center"/>
    </xf>
    <xf numFmtId="0" fontId="27" fillId="0" borderId="0" xfId="0" applyFont="1"/>
    <xf numFmtId="0" fontId="26" fillId="0" borderId="0" xfId="0" applyFont="1"/>
    <xf numFmtId="0" fontId="8" fillId="0" borderId="4" xfId="0" applyFont="1" applyBorder="1" applyAlignment="1">
      <alignment horizontal="left" indent="1"/>
    </xf>
    <xf numFmtId="0" fontId="29" fillId="0" borderId="0" xfId="4" applyFont="1"/>
    <xf numFmtId="0" fontId="0" fillId="10" borderId="4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28" fillId="0" borderId="0" xfId="4"/>
    <xf numFmtId="0" fontId="0" fillId="0" borderId="4" xfId="0" applyBorder="1"/>
    <xf numFmtId="0" fontId="0" fillId="0" borderId="10" xfId="0" applyBorder="1"/>
    <xf numFmtId="0" fontId="4" fillId="4" borderId="5" xfId="0" applyFont="1" applyFill="1" applyBorder="1" applyAlignment="1">
      <alignment horizontal="center" vertical="center" wrapText="1"/>
    </xf>
    <xf numFmtId="0" fontId="30" fillId="0" borderId="0" xfId="0" applyFont="1"/>
    <xf numFmtId="0" fontId="32" fillId="0" borderId="0" xfId="5" applyFont="1"/>
    <xf numFmtId="0" fontId="33" fillId="0" borderId="0" xfId="5" applyFont="1"/>
    <xf numFmtId="0" fontId="31" fillId="0" borderId="0" xfId="5" applyFont="1"/>
    <xf numFmtId="0" fontId="33" fillId="0" borderId="0" xfId="5" applyFont="1" applyAlignment="1">
      <alignment horizontal="left"/>
    </xf>
    <xf numFmtId="0" fontId="32" fillId="0" borderId="0" xfId="5" applyFont="1" applyAlignment="1">
      <alignment horizontal="left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" fontId="2" fillId="2" borderId="0" xfId="1" applyNumberFormat="1" applyBorder="1" applyAlignment="1">
      <alignment horizontal="center"/>
    </xf>
    <xf numFmtId="2" fontId="2" fillId="2" borderId="1" xfId="1" applyNumberFormat="1" applyBorder="1" applyAlignment="1">
      <alignment horizontal="center"/>
    </xf>
    <xf numFmtId="0" fontId="2" fillId="3" borderId="1" xfId="2" applyFont="1" applyBorder="1" applyAlignment="1">
      <alignment horizontal="center"/>
    </xf>
    <xf numFmtId="0" fontId="32" fillId="0" borderId="0" xfId="5" applyFont="1" applyFill="1"/>
    <xf numFmtId="0" fontId="31" fillId="0" borderId="0" xfId="5" applyFont="1" applyFill="1"/>
    <xf numFmtId="0" fontId="32" fillId="0" borderId="0" xfId="5" applyFont="1" applyFill="1" applyAlignment="1">
      <alignment horizontal="left"/>
    </xf>
    <xf numFmtId="0" fontId="1" fillId="0" borderId="0" xfId="0" applyFont="1" applyAlignment="1">
      <alignment horizontal="center"/>
    </xf>
    <xf numFmtId="0" fontId="31" fillId="0" borderId="0" xfId="5" applyFont="1" applyFill="1" applyAlignment="1">
      <alignment horizontal="left"/>
    </xf>
    <xf numFmtId="0" fontId="34" fillId="0" borderId="0" xfId="0" applyFont="1"/>
    <xf numFmtId="0" fontId="35" fillId="0" borderId="0" xfId="0" applyFont="1"/>
    <xf numFmtId="0" fontId="31" fillId="7" borderId="0" xfId="5" applyFont="1" applyFill="1"/>
    <xf numFmtId="0" fontId="32" fillId="7" borderId="0" xfId="5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37" fillId="0" borderId="0" xfId="0" applyFont="1"/>
    <xf numFmtId="0" fontId="38" fillId="0" borderId="0" xfId="0" applyFont="1"/>
    <xf numFmtId="0" fontId="28" fillId="0" borderId="0" xfId="4" applyFill="1"/>
    <xf numFmtId="0" fontId="28" fillId="0" borderId="0" xfId="4" applyFill="1" applyBorder="1"/>
    <xf numFmtId="0" fontId="0" fillId="0" borderId="0" xfId="0" applyFill="1"/>
    <xf numFmtId="0" fontId="2" fillId="2" borderId="0" xfId="1" applyFont="1"/>
    <xf numFmtId="0" fontId="0" fillId="0" borderId="0" xfId="0" applyFont="1"/>
    <xf numFmtId="0" fontId="0" fillId="5" borderId="0" xfId="0" applyNumberFormat="1" applyFont="1" applyFill="1" applyAlignment="1">
      <alignment horizontal="center"/>
    </xf>
    <xf numFmtId="0" fontId="0" fillId="5" borderId="0" xfId="0" applyNumberFormat="1" applyFill="1" applyAlignment="1">
      <alignment horizontal="center"/>
    </xf>
    <xf numFmtId="0" fontId="2" fillId="3" borderId="0" xfId="2" applyNumberFormat="1" applyBorder="1" applyAlignment="1">
      <alignment horizontal="center"/>
    </xf>
    <xf numFmtId="0" fontId="0" fillId="5" borderId="0" xfId="0" applyNumberFormat="1" applyFill="1"/>
    <xf numFmtId="0" fontId="36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6">
    <cellStyle name="20% - Accent1" xfId="1" builtinId="30"/>
    <cellStyle name="20% - Accent2" xfId="2" builtinId="34"/>
    <cellStyle name="Hyperlink" xfId="3" builtinId="8"/>
    <cellStyle name="Normal" xfId="0" builtinId="0"/>
    <cellStyle name="Normal 2" xfId="4" xr:uid="{5BFCFA8C-798E-4A80-83BA-D88D1562CAEA}"/>
    <cellStyle name="Normal 3" xfId="5" xr:uid="{3AAAA91A-21BA-4867-8134-02CCA12B3008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95250</xdr:rowOff>
    </xdr:from>
    <xdr:to>
      <xdr:col>10</xdr:col>
      <xdr:colOff>762000</xdr:colOff>
      <xdr:row>12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58DF43-760E-4F5B-9127-7E175E2EB809}"/>
            </a:ext>
          </a:extLst>
        </xdr:cNvPr>
        <xdr:cNvSpPr txBox="1"/>
      </xdr:nvSpPr>
      <xdr:spPr>
        <a:xfrm>
          <a:off x="238125" y="704850"/>
          <a:ext cx="8023225" cy="1743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This configurator calculates the overall size and aluminium extrusion lengths required for the building of the HyperCube Evolution 3D Printer.</a:t>
          </a:r>
        </a:p>
        <a:p>
          <a:endParaRPr lang="en-US" sz="10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none">
              <a:latin typeface="Courier New" panose="02070309020205020404" pitchFamily="49" charset="0"/>
              <a:cs typeface="Courier New" panose="02070309020205020404" pitchFamily="49" charset="0"/>
            </a:rPr>
            <a:t>HOW TO</a:t>
          </a:r>
        </a:p>
        <a:p>
          <a:endParaRPr lang="en-US" sz="10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1. Enter the build volume that you want the printer to have. Note that these settings are the desired minimum travel of the extruder nozzle / build platform. </a:t>
          </a:r>
        </a:p>
        <a:p>
          <a:endParaRPr lang="en-US" sz="10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2. Select one of the pre-configured build platforms or "Custom". Update the custom size as required. These settings determine the build platform frame size.</a:t>
          </a:r>
        </a:p>
      </xdr:txBody>
    </xdr:sp>
    <xdr:clientData/>
  </xdr:twoCellAnchor>
  <xdr:twoCellAnchor editAs="oneCell">
    <xdr:from>
      <xdr:col>15</xdr:col>
      <xdr:colOff>765080</xdr:colOff>
      <xdr:row>11</xdr:row>
      <xdr:rowOff>144678</xdr:rowOff>
    </xdr:from>
    <xdr:to>
      <xdr:col>24</xdr:col>
      <xdr:colOff>593726</xdr:colOff>
      <xdr:row>26</xdr:row>
      <xdr:rowOff>177879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644E8B-60FA-4673-B7DF-C92E92D5A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03030" y="2278278"/>
          <a:ext cx="6438996" cy="2890701"/>
        </a:xfrm>
        <a:prstGeom prst="rect">
          <a:avLst/>
        </a:prstGeom>
      </xdr:spPr>
    </xdr:pic>
    <xdr:clientData/>
  </xdr:twoCellAnchor>
  <xdr:twoCellAnchor editAs="oneCell">
    <xdr:from>
      <xdr:col>13</xdr:col>
      <xdr:colOff>9524</xdr:colOff>
      <xdr:row>23</xdr:row>
      <xdr:rowOff>142686</xdr:rowOff>
    </xdr:from>
    <xdr:to>
      <xdr:col>16</xdr:col>
      <xdr:colOff>151811</xdr:colOff>
      <xdr:row>32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026FE3A-FB1F-4387-9F98-809D0C7D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67824" y="4562286"/>
          <a:ext cx="3342687" cy="1571814"/>
        </a:xfrm>
        <a:prstGeom prst="rect">
          <a:avLst/>
        </a:prstGeom>
      </xdr:spPr>
    </xdr:pic>
    <xdr:clientData/>
  </xdr:twoCellAnchor>
  <xdr:twoCellAnchor editAs="oneCell">
    <xdr:from>
      <xdr:col>16</xdr:col>
      <xdr:colOff>183776</xdr:colOff>
      <xdr:row>27</xdr:row>
      <xdr:rowOff>11668</xdr:rowOff>
    </xdr:from>
    <xdr:to>
      <xdr:col>23</xdr:col>
      <xdr:colOff>441585</xdr:colOff>
      <xdr:row>33</xdr:row>
      <xdr:rowOff>174859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6F0B6DB-FAD7-4C0D-B653-2A10B0918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642476" y="5193268"/>
          <a:ext cx="5306059" cy="13061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301A591-FC5D-4636-81CE-9F61EB9EC9EC}" name="Tabelle3" displayName="Tabelle3" ref="A3:M112" totalsRowShown="0" headerRowDxfId="10">
  <autoFilter ref="A3:M112" xr:uid="{E5834605-AB5A-405A-A772-F4BAC76CDCED}"/>
  <tableColumns count="13">
    <tableColumn id="1" xr3:uid="{A51C2E08-1440-4BB7-8C6C-0AA1599C32F8}" name="System"/>
    <tableColumn id="2" xr3:uid="{FC52543B-58A9-4110-8774-2D1F4649C82D}" name="Description"/>
    <tableColumn id="3" xr3:uid="{A7EE366F-2689-497F-8CBB-40E74BF7BC62}" name="Qty" dataDxfId="9"/>
    <tableColumn id="14" xr3:uid="{404417BE-E00C-45CF-8397-7DD9421B075C}" name="Qty 10 Kits" dataDxfId="8">
      <calculatedColumnFormula>Tabelle3[[#This Row],[Qty]]*10</calculatedColumnFormula>
    </tableColumn>
    <tableColumn id="4" xr3:uid="{E502D841-EDD4-48D1-828D-3A46EA567FC7}" name="Unit Price" dataDxfId="7"/>
    <tableColumn id="5" xr3:uid="{5B98A508-A246-4013-931A-0246569201BC}" name="Cost" dataDxfId="6"/>
    <tableColumn id="6" xr3:uid="{5B83186C-635F-4FE0-9BCD-B3B2FCE4DE64}" name="Sum Total"/>
    <tableColumn id="7" xr3:uid="{0BD8A213-F90F-4664-B223-9CF66BC21761}" name="Shop"/>
    <tableColumn id="11" xr3:uid="{A018D477-CA96-42BC-A403-24ACB8804537}" name="Alternate Shop"/>
    <tableColumn id="8" xr3:uid="{E1C454A1-7926-40DB-94B0-DAA301C22573}" name="Item URL"/>
    <tableColumn id="13" xr3:uid="{75CC3EA6-DF01-4A54-8C12-2F2B623DA34D}" name="Alt. URL"/>
    <tableColumn id="9" xr3:uid="{D2AB30E7-E3AD-43A6-9D3D-706E815FCC65}" name="Comment"/>
    <tableColumn id="10" xr3:uid="{60EE9D09-29C5-4472-9B63-C716544DEEAD}" name="Status" dataCellStyle="Normal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3A08C8-F4DA-4817-B2D6-B07D20B47365}" name="Table1" displayName="Table1" ref="I3:M156" totalsRowShown="0" headerRowDxfId="5" headerRowCellStyle="Normal 3">
  <autoFilter ref="I3:M156" xr:uid="{5D3A08C8-F4DA-4817-B2D6-B07D20B47365}">
    <filterColumn colId="3">
      <filters>
        <filter val="M5x10"/>
        <filter val="M5x10 Bolts"/>
        <filter val="M5x10 Long Bolts"/>
      </filters>
    </filterColumn>
  </autoFilter>
  <tableColumns count="5">
    <tableColumn id="1" xr3:uid="{65222DC1-81BE-4FE6-8B05-8613CF5D239F}" name="Part Qty" dataDxfId="4" dataCellStyle="Normal 3"/>
    <tableColumn id="2" xr3:uid="{F0BA1DD4-4EDC-4BE8-9D40-1465C6C0A899}" name="Part" dataDxfId="3" dataCellStyle="Normal 3"/>
    <tableColumn id="5" xr3:uid="{EE64EDF1-D825-3B43-AF30-6F0C30E4DF82}" name="Sub Part" dataDxfId="2" dataCellStyle="Normal 3"/>
    <tableColumn id="3" xr3:uid="{EBA21895-50A2-4AF1-A1D3-8739C5EDB7E4}" name="Fastener" dataDxfId="1" dataCellStyle="Normal 3"/>
    <tableColumn id="4" xr3:uid="{D502AE5E-D211-4892-8A36-F2AA8085D2EC}" name="Fastener Qty" dataDxfId="0" dataCellStyle="Normal 3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liexpress.com/item/For-RepRap-3D-Prusa-Mendel-Printer-MK2A-300-300-3-0mm-Heater-Bed-RAMPS-1-4/32668984871.html?spm=2114.13010608.0.0.eQ0JK4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"/>
  <sheetViews>
    <sheetView zoomScale="85" zoomScaleNormal="85" workbookViewId="0">
      <pane ySplit="3" topLeftCell="A4" activePane="bottomLeft" state="frozen"/>
      <selection pane="bottomLeft" activeCell="B25" sqref="B25"/>
    </sheetView>
  </sheetViews>
  <sheetFormatPr defaultColWidth="10.81640625" defaultRowHeight="14.5"/>
  <cols>
    <col min="1" max="1" width="13.26953125" customWidth="1"/>
    <col min="2" max="2" width="47.6328125" customWidth="1"/>
    <col min="3" max="3" width="6.453125" style="1" customWidth="1"/>
    <col min="4" max="4" width="9.6328125" style="146" customWidth="1"/>
    <col min="5" max="5" width="12" style="1" customWidth="1"/>
    <col min="6" max="6" width="10.81640625" style="1"/>
    <col min="7" max="7" width="6.453125" customWidth="1"/>
    <col min="8" max="8" width="8.90625" customWidth="1"/>
    <col min="9" max="9" width="7.453125" customWidth="1"/>
    <col min="10" max="10" width="7.26953125" customWidth="1"/>
    <col min="11" max="11" width="6.26953125" customWidth="1"/>
    <col min="12" max="12" width="16.1796875" customWidth="1"/>
  </cols>
  <sheetData>
    <row r="1" spans="1:13" ht="21">
      <c r="A1" s="126" t="s">
        <v>285</v>
      </c>
    </row>
    <row r="2" spans="1:13" ht="7.25" customHeight="1"/>
    <row r="3" spans="1:13">
      <c r="A3" s="13" t="s">
        <v>5</v>
      </c>
      <c r="B3" s="132" t="s">
        <v>0</v>
      </c>
      <c r="C3" s="133" t="s">
        <v>27</v>
      </c>
      <c r="D3" s="133" t="s">
        <v>518</v>
      </c>
      <c r="E3" s="133" t="s">
        <v>1</v>
      </c>
      <c r="F3" s="133" t="s">
        <v>2</v>
      </c>
      <c r="G3" s="132" t="s">
        <v>31</v>
      </c>
      <c r="H3" s="132" t="s">
        <v>3</v>
      </c>
      <c r="I3" s="132" t="s">
        <v>272</v>
      </c>
      <c r="J3" s="13" t="s">
        <v>4</v>
      </c>
      <c r="K3" s="13" t="s">
        <v>514</v>
      </c>
      <c r="L3" s="14" t="s">
        <v>19</v>
      </c>
      <c r="M3" s="21" t="s">
        <v>37</v>
      </c>
    </row>
    <row r="4" spans="1:13">
      <c r="A4" s="12" t="s">
        <v>16</v>
      </c>
      <c r="B4" s="6" t="s">
        <v>109</v>
      </c>
      <c r="C4" s="7">
        <v>4</v>
      </c>
      <c r="D4" s="7">
        <f>Tabelle3[[#This Row],[Qty]]*10</f>
        <v>40</v>
      </c>
      <c r="E4" s="7" t="s">
        <v>103</v>
      </c>
      <c r="F4" s="134">
        <f>'Frame Cost Calc'!E5</f>
        <v>11.34</v>
      </c>
      <c r="G4" s="6"/>
      <c r="H4" s="6" t="s">
        <v>35</v>
      </c>
      <c r="I4" s="6"/>
      <c r="J4" s="6" t="s">
        <v>501</v>
      </c>
      <c r="K4" s="6"/>
      <c r="L4" s="6"/>
      <c r="M4" t="s">
        <v>588</v>
      </c>
    </row>
    <row r="5" spans="1:13">
      <c r="A5" s="12" t="s">
        <v>535</v>
      </c>
      <c r="B5" s="6" t="s">
        <v>110</v>
      </c>
      <c r="C5" s="7">
        <v>6</v>
      </c>
      <c r="D5" s="7">
        <f>Tabelle3[[#This Row],[Qty]]*10</f>
        <v>60</v>
      </c>
      <c r="E5" s="7" t="s">
        <v>103</v>
      </c>
      <c r="F5" s="134">
        <f>'Frame Cost Calc'!E6</f>
        <v>11.566799999999999</v>
      </c>
      <c r="G5" s="6"/>
      <c r="H5" s="6" t="s">
        <v>35</v>
      </c>
      <c r="I5" s="6"/>
      <c r="J5" s="6" t="s">
        <v>501</v>
      </c>
      <c r="K5" s="6"/>
      <c r="L5" s="6"/>
      <c r="M5" t="s">
        <v>588</v>
      </c>
    </row>
    <row r="6" spans="1:13">
      <c r="A6" s="12" t="s">
        <v>536</v>
      </c>
      <c r="B6" s="15" t="s">
        <v>111</v>
      </c>
      <c r="C6" s="16">
        <v>4</v>
      </c>
      <c r="D6" s="16">
        <f>Tabelle3[[#This Row],[Qty]]*10</f>
        <v>40</v>
      </c>
      <c r="E6" s="16" t="s">
        <v>103</v>
      </c>
      <c r="F6" s="135">
        <f>'Frame Cost Calc'!E7</f>
        <v>7.7111999999999998</v>
      </c>
      <c r="G6" s="15"/>
      <c r="H6" s="15" t="s">
        <v>35</v>
      </c>
      <c r="I6" s="15"/>
      <c r="J6" s="6" t="s">
        <v>501</v>
      </c>
      <c r="K6" s="6"/>
      <c r="L6" s="15"/>
      <c r="M6" t="s">
        <v>588</v>
      </c>
    </row>
    <row r="7" spans="1:13">
      <c r="A7" s="4"/>
      <c r="B7" s="4"/>
      <c r="C7" s="5"/>
      <c r="D7" s="5"/>
      <c r="E7" s="5"/>
      <c r="F7" s="5"/>
      <c r="G7">
        <f>SUM(F4:F6)</f>
        <v>30.617999999999995</v>
      </c>
      <c r="H7" s="4"/>
      <c r="I7" s="4"/>
    </row>
    <row r="8" spans="1:13">
      <c r="A8" s="11" t="s">
        <v>17</v>
      </c>
      <c r="B8" s="8" t="s">
        <v>112</v>
      </c>
      <c r="C8" s="9">
        <v>2</v>
      </c>
      <c r="D8" s="9">
        <f>Tabelle3[[#This Row],[Qty]]*10</f>
        <v>20</v>
      </c>
      <c r="E8" s="9" t="s">
        <v>104</v>
      </c>
      <c r="F8" s="9">
        <f>'Frame Cost Calc'!E8</f>
        <v>2.5459999999999998</v>
      </c>
      <c r="G8" s="8"/>
      <c r="H8" s="8" t="s">
        <v>35</v>
      </c>
      <c r="I8" s="8"/>
      <c r="J8" s="8" t="s">
        <v>528</v>
      </c>
      <c r="K8" s="8"/>
      <c r="L8" s="8"/>
      <c r="M8" t="s">
        <v>588</v>
      </c>
    </row>
    <row r="9" spans="1:13">
      <c r="A9" s="11" t="s">
        <v>534</v>
      </c>
      <c r="B9" s="8" t="s">
        <v>113</v>
      </c>
      <c r="C9" s="9">
        <v>2</v>
      </c>
      <c r="D9" s="9">
        <f>Tabelle3[[#This Row],[Qty]]*10</f>
        <v>20</v>
      </c>
      <c r="E9" s="9" t="s">
        <v>104</v>
      </c>
      <c r="F9" s="9">
        <f>'Frame Cost Calc'!E9</f>
        <v>1.0640000000000001</v>
      </c>
      <c r="G9" s="8"/>
      <c r="H9" s="8" t="s">
        <v>35</v>
      </c>
      <c r="I9" s="8"/>
      <c r="J9" s="8" t="s">
        <v>528</v>
      </c>
      <c r="K9" s="8"/>
      <c r="L9" s="8"/>
      <c r="M9" t="s">
        <v>588</v>
      </c>
    </row>
    <row r="10" spans="1:13">
      <c r="A10" s="10"/>
      <c r="B10" s="10"/>
      <c r="C10" s="20"/>
      <c r="D10" s="20"/>
      <c r="E10" s="20"/>
      <c r="F10" s="20"/>
      <c r="G10" s="10"/>
      <c r="H10" s="10"/>
      <c r="I10" s="10"/>
      <c r="J10" s="8"/>
      <c r="K10" s="8"/>
      <c r="L10" s="10"/>
    </row>
    <row r="11" spans="1:13">
      <c r="D11" s="146">
        <f>Tabelle3[[#This Row],[Qty]]*10</f>
        <v>0</v>
      </c>
      <c r="G11">
        <f>SUM(F8:F10)</f>
        <v>3.61</v>
      </c>
    </row>
    <row r="12" spans="1:13">
      <c r="A12" s="17" t="s">
        <v>18</v>
      </c>
      <c r="B12" s="6" t="s">
        <v>114</v>
      </c>
      <c r="C12" s="7">
        <v>2</v>
      </c>
      <c r="D12" s="7">
        <f>Tabelle3[[#This Row],[Qty]]*10</f>
        <v>20</v>
      </c>
      <c r="E12" s="7" t="s">
        <v>105</v>
      </c>
      <c r="F12" s="7">
        <f>'Frame Cost Calc'!E10</f>
        <v>3.5223999999999998</v>
      </c>
      <c r="G12" s="6"/>
      <c r="H12" s="6" t="s">
        <v>35</v>
      </c>
      <c r="I12" s="6"/>
      <c r="J12" s="6" t="s">
        <v>32</v>
      </c>
      <c r="K12" s="6"/>
      <c r="L12" s="6"/>
      <c r="M12" t="s">
        <v>588</v>
      </c>
    </row>
    <row r="13" spans="1:13">
      <c r="A13" s="17" t="s">
        <v>18</v>
      </c>
      <c r="B13" s="6" t="s">
        <v>115</v>
      </c>
      <c r="C13" s="7">
        <v>2</v>
      </c>
      <c r="D13" s="7">
        <f>Tabelle3[[#This Row],[Qty]]*10</f>
        <v>20</v>
      </c>
      <c r="E13" s="7" t="s">
        <v>106</v>
      </c>
      <c r="F13" s="7">
        <f>'Frame Cost Calc'!E11</f>
        <v>3.4407999999999999</v>
      </c>
      <c r="G13" s="6"/>
      <c r="H13" s="6" t="s">
        <v>35</v>
      </c>
      <c r="I13" s="6"/>
      <c r="J13" s="6" t="s">
        <v>33</v>
      </c>
      <c r="K13" s="6"/>
      <c r="L13" s="6"/>
      <c r="M13" t="s">
        <v>588</v>
      </c>
    </row>
    <row r="14" spans="1:13">
      <c r="A14" s="17" t="s">
        <v>18</v>
      </c>
      <c r="B14" s="15" t="s">
        <v>541</v>
      </c>
      <c r="C14" s="16">
        <v>4</v>
      </c>
      <c r="D14" s="16">
        <f>Tabelle3[[#This Row],[Qty]]*10</f>
        <v>40</v>
      </c>
      <c r="E14" s="16" t="s">
        <v>107</v>
      </c>
      <c r="F14" s="16">
        <f>'Frame Cost Calc'!E12</f>
        <v>7.92</v>
      </c>
      <c r="G14" s="15"/>
      <c r="H14" s="15" t="s">
        <v>35</v>
      </c>
      <c r="I14" s="15"/>
      <c r="J14" s="15" t="s">
        <v>34</v>
      </c>
      <c r="K14" s="15"/>
      <c r="L14" s="15"/>
      <c r="M14" t="s">
        <v>588</v>
      </c>
    </row>
    <row r="15" spans="1:13">
      <c r="D15" s="146">
        <f>Tabelle3[[#This Row],[Qty]]*10</f>
        <v>0</v>
      </c>
      <c r="G15">
        <f>SUM(F12:F14)</f>
        <v>14.883199999999999</v>
      </c>
    </row>
    <row r="16" spans="1:13">
      <c r="A16" s="11" t="s">
        <v>21</v>
      </c>
      <c r="B16" s="8" t="s">
        <v>265</v>
      </c>
      <c r="C16" s="9">
        <v>20</v>
      </c>
      <c r="D16" s="9">
        <f>Tabelle3[[#This Row],[Qty]]*10</f>
        <v>200</v>
      </c>
      <c r="E16" s="9">
        <v>0.89500000000000002</v>
      </c>
      <c r="F16" s="9">
        <f t="shared" ref="F16:F18" si="0">E16*C16</f>
        <v>17.899999999999999</v>
      </c>
      <c r="G16" s="8"/>
      <c r="H16" s="8" t="s">
        <v>35</v>
      </c>
      <c r="I16" s="8"/>
      <c r="J16" s="8" t="s">
        <v>80</v>
      </c>
      <c r="K16" s="8"/>
      <c r="L16" s="10"/>
      <c r="M16" t="s">
        <v>588</v>
      </c>
    </row>
    <row r="17" spans="1:14">
      <c r="A17" s="11" t="s">
        <v>21</v>
      </c>
      <c r="B17" s="10" t="s">
        <v>530</v>
      </c>
      <c r="C17" s="9">
        <v>4</v>
      </c>
      <c r="D17" s="9">
        <f>Tabelle3[[#This Row],[Qty]]*10</f>
        <v>40</v>
      </c>
      <c r="E17" s="9">
        <f>5.9/4</f>
        <v>1.4750000000000001</v>
      </c>
      <c r="F17" s="9">
        <f t="shared" si="0"/>
        <v>5.9</v>
      </c>
      <c r="G17" s="8"/>
      <c r="H17" s="8" t="s">
        <v>35</v>
      </c>
      <c r="I17" s="8"/>
      <c r="J17" s="8" t="s">
        <v>499</v>
      </c>
      <c r="K17" s="8"/>
      <c r="L17" s="10"/>
      <c r="M17" t="s">
        <v>588</v>
      </c>
    </row>
    <row r="18" spans="1:14">
      <c r="A18" s="11" t="s">
        <v>21</v>
      </c>
      <c r="B18" s="10" t="s">
        <v>529</v>
      </c>
      <c r="C18" s="20">
        <v>12</v>
      </c>
      <c r="D18" s="20">
        <f>Tabelle3[[#This Row],[Qty]]*10</f>
        <v>120</v>
      </c>
      <c r="E18" s="20">
        <v>1.47</v>
      </c>
      <c r="F18" s="20">
        <f t="shared" si="0"/>
        <v>17.64</v>
      </c>
      <c r="G18" s="10"/>
      <c r="H18" s="10" t="s">
        <v>35</v>
      </c>
      <c r="I18" s="10"/>
      <c r="J18" s="10" t="s">
        <v>500</v>
      </c>
      <c r="K18" s="10"/>
      <c r="L18" s="10"/>
      <c r="M18" t="s">
        <v>588</v>
      </c>
    </row>
    <row r="19" spans="1:14">
      <c r="G19">
        <f>SUM(F16:F18)</f>
        <v>41.44</v>
      </c>
    </row>
    <row r="20" spans="1:14">
      <c r="A20" s="17" t="s">
        <v>23</v>
      </c>
      <c r="B20" s="6" t="s">
        <v>22</v>
      </c>
      <c r="C20" s="7">
        <v>3</v>
      </c>
      <c r="D20" s="7">
        <f>Tabelle3[[#This Row],[Qty]]*10</f>
        <v>30</v>
      </c>
      <c r="E20" s="7">
        <v>13.95</v>
      </c>
      <c r="F20" s="7">
        <f>E20*C20</f>
        <v>41.849999999999994</v>
      </c>
      <c r="G20" s="6"/>
      <c r="H20" s="6" t="s">
        <v>579</v>
      </c>
      <c r="I20" s="6" t="s">
        <v>526</v>
      </c>
      <c r="J20" s="6"/>
      <c r="K20" s="6"/>
      <c r="L20" s="6" t="s">
        <v>553</v>
      </c>
      <c r="M20" t="s">
        <v>588</v>
      </c>
    </row>
    <row r="21" spans="1:14">
      <c r="A21" s="17" t="s">
        <v>23</v>
      </c>
      <c r="B21" s="6" t="s">
        <v>578</v>
      </c>
      <c r="C21" s="7">
        <v>2</v>
      </c>
      <c r="D21" s="7">
        <f>Tabelle3[[#This Row],[Qty]]*10</f>
        <v>20</v>
      </c>
      <c r="E21" s="7">
        <v>7.97</v>
      </c>
      <c r="F21" s="7">
        <f t="shared" ref="F21:F26" si="1">E21*C21</f>
        <v>15.94</v>
      </c>
      <c r="G21" s="6"/>
      <c r="H21" s="6" t="s">
        <v>101</v>
      </c>
      <c r="I21" s="6" t="s">
        <v>30</v>
      </c>
      <c r="J21" s="6" t="s">
        <v>491</v>
      </c>
      <c r="K21" s="6"/>
      <c r="L21" s="6" t="s">
        <v>552</v>
      </c>
      <c r="M21" t="s">
        <v>588</v>
      </c>
    </row>
    <row r="22" spans="1:14">
      <c r="A22" s="17" t="s">
        <v>23</v>
      </c>
      <c r="B22" s="6" t="s">
        <v>102</v>
      </c>
      <c r="C22" s="7">
        <v>3</v>
      </c>
      <c r="D22" s="7">
        <f>Tabelle3[[#This Row],[Qty]]*10</f>
        <v>30</v>
      </c>
      <c r="E22" s="7">
        <v>1.5</v>
      </c>
      <c r="F22" s="7">
        <f t="shared" si="1"/>
        <v>4.5</v>
      </c>
      <c r="G22" s="6"/>
      <c r="H22" s="6" t="s">
        <v>101</v>
      </c>
      <c r="I22" s="6"/>
      <c r="J22" s="6"/>
      <c r="K22" s="6"/>
      <c r="L22" s="6"/>
      <c r="M22" t="s">
        <v>588</v>
      </c>
    </row>
    <row r="23" spans="1:14">
      <c r="A23" s="15"/>
      <c r="B23" s="15"/>
      <c r="C23" s="16"/>
      <c r="D23" s="16">
        <f>Tabelle3[[#This Row],[Qty]]*10</f>
        <v>0</v>
      </c>
      <c r="E23" s="16"/>
      <c r="F23" s="16"/>
      <c r="G23" s="15"/>
      <c r="H23" s="15"/>
      <c r="I23" s="15"/>
      <c r="J23" s="15"/>
      <c r="K23" s="15"/>
      <c r="L23" s="15"/>
    </row>
    <row r="24" spans="1:14">
      <c r="G24">
        <f>SUM(F20:F23)</f>
        <v>62.289999999999992</v>
      </c>
    </row>
    <row r="25" spans="1:14">
      <c r="A25" s="11" t="s">
        <v>24</v>
      </c>
      <c r="B25" s="8" t="s">
        <v>266</v>
      </c>
      <c r="C25" s="9">
        <v>3</v>
      </c>
      <c r="D25" s="9">
        <f>Tabelle3[[#This Row],[Qty]]*10</f>
        <v>30</v>
      </c>
      <c r="E25" s="9">
        <v>1.25</v>
      </c>
      <c r="F25" s="9">
        <f t="shared" si="1"/>
        <v>3.75</v>
      </c>
      <c r="G25" s="8"/>
      <c r="H25" s="8" t="s">
        <v>35</v>
      </c>
      <c r="I25" s="8"/>
      <c r="J25" s="8"/>
      <c r="K25" s="8"/>
      <c r="L25" s="8"/>
      <c r="M25" t="s">
        <v>542</v>
      </c>
      <c r="N25" s="46"/>
    </row>
    <row r="26" spans="1:14">
      <c r="A26" s="11" t="s">
        <v>24</v>
      </c>
      <c r="B26" s="8" t="s">
        <v>281</v>
      </c>
      <c r="C26" s="9">
        <v>8</v>
      </c>
      <c r="D26" s="9">
        <f>Tabelle3[[#This Row],[Qty]]*10</f>
        <v>80</v>
      </c>
      <c r="E26" s="9">
        <v>1.35</v>
      </c>
      <c r="F26" s="9">
        <f t="shared" si="1"/>
        <v>10.8</v>
      </c>
      <c r="G26" s="8"/>
      <c r="H26" s="8" t="s">
        <v>101</v>
      </c>
      <c r="I26" s="8"/>
      <c r="J26" s="8" t="s">
        <v>282</v>
      </c>
      <c r="K26" s="8"/>
      <c r="L26" s="8"/>
      <c r="M26" t="s">
        <v>542</v>
      </c>
    </row>
    <row r="27" spans="1:14">
      <c r="A27" s="11" t="s">
        <v>24</v>
      </c>
      <c r="B27" s="44" t="s">
        <v>25</v>
      </c>
      <c r="C27" s="45">
        <f>2+3</f>
        <v>5</v>
      </c>
      <c r="D27" s="45">
        <f>Tabelle3[[#This Row],[Qty]]*10</f>
        <v>50</v>
      </c>
      <c r="E27" s="45">
        <v>1.35</v>
      </c>
      <c r="F27" s="45">
        <f>E27*C27</f>
        <v>6.75</v>
      </c>
      <c r="G27" s="44"/>
      <c r="H27" s="44" t="s">
        <v>101</v>
      </c>
      <c r="I27" s="44"/>
      <c r="J27" s="44" t="s">
        <v>283</v>
      </c>
      <c r="K27" s="44"/>
      <c r="L27" s="44"/>
      <c r="M27" t="s">
        <v>542</v>
      </c>
    </row>
    <row r="28" spans="1:14">
      <c r="A28" s="11" t="s">
        <v>24</v>
      </c>
      <c r="B28" s="44" t="s">
        <v>44</v>
      </c>
      <c r="C28" s="45">
        <v>2</v>
      </c>
      <c r="D28" s="45">
        <f>Tabelle3[[#This Row],[Qty]]*10</f>
        <v>20</v>
      </c>
      <c r="E28" s="45">
        <v>2.4500000000000002</v>
      </c>
      <c r="F28" s="45">
        <f t="shared" ref="F28:F31" si="2">E28*C28</f>
        <v>4.9000000000000004</v>
      </c>
      <c r="G28" s="44"/>
      <c r="H28" s="44" t="s">
        <v>101</v>
      </c>
      <c r="I28" s="44" t="s">
        <v>36</v>
      </c>
      <c r="J28" s="44" t="s">
        <v>284</v>
      </c>
      <c r="K28" s="44"/>
      <c r="L28" s="44"/>
      <c r="M28" t="s">
        <v>542</v>
      </c>
    </row>
    <row r="29" spans="1:14">
      <c r="A29" s="11" t="s">
        <v>24</v>
      </c>
      <c r="B29" s="44" t="s">
        <v>329</v>
      </c>
      <c r="C29" s="45">
        <v>1</v>
      </c>
      <c r="D29" s="45">
        <f>Tabelle3[[#This Row],[Qty]]*10</f>
        <v>10</v>
      </c>
      <c r="E29" s="45">
        <v>5.63</v>
      </c>
      <c r="F29" s="45">
        <f t="shared" si="2"/>
        <v>5.63</v>
      </c>
      <c r="G29" s="44"/>
      <c r="H29" s="44" t="s">
        <v>559</v>
      </c>
      <c r="I29" s="44"/>
      <c r="J29" s="44" t="s">
        <v>560</v>
      </c>
      <c r="K29" s="44"/>
      <c r="L29" s="44"/>
      <c r="M29" t="s">
        <v>561</v>
      </c>
    </row>
    <row r="30" spans="1:14">
      <c r="A30" s="11" t="s">
        <v>24</v>
      </c>
      <c r="B30" s="10" t="s">
        <v>532</v>
      </c>
      <c r="C30" s="20">
        <v>3</v>
      </c>
      <c r="D30" s="20">
        <f>Tabelle3[[#This Row],[Qty]]*10</f>
        <v>30</v>
      </c>
      <c r="E30" s="20">
        <v>1.25</v>
      </c>
      <c r="F30" s="136">
        <f t="shared" si="2"/>
        <v>3.75</v>
      </c>
      <c r="G30" s="10"/>
      <c r="H30" s="10" t="s">
        <v>40</v>
      </c>
      <c r="I30" s="10"/>
      <c r="J30" s="10"/>
      <c r="K30" s="10"/>
      <c r="L30" s="10"/>
      <c r="M30" t="s">
        <v>542</v>
      </c>
    </row>
    <row r="31" spans="1:14">
      <c r="A31" s="11" t="s">
        <v>24</v>
      </c>
      <c r="B31" s="8" t="s">
        <v>550</v>
      </c>
      <c r="C31" s="9">
        <v>4</v>
      </c>
      <c r="D31" s="157">
        <f>Tabelle3[[#This Row],[Qty]]*10</f>
        <v>40</v>
      </c>
      <c r="E31" s="9">
        <v>2.4500000000000002</v>
      </c>
      <c r="F31" s="136">
        <f t="shared" si="2"/>
        <v>9.8000000000000007</v>
      </c>
      <c r="G31" s="8"/>
      <c r="H31" s="8" t="s">
        <v>101</v>
      </c>
      <c r="I31" s="8"/>
      <c r="J31" s="8" t="s">
        <v>551</v>
      </c>
      <c r="K31" s="8"/>
      <c r="L31" s="8"/>
      <c r="M31" t="s">
        <v>542</v>
      </c>
    </row>
    <row r="32" spans="1:14">
      <c r="A32" s="2"/>
      <c r="G32">
        <f>SUM(F25:F30)</f>
        <v>35.58</v>
      </c>
    </row>
    <row r="33" spans="1:13">
      <c r="A33" s="17" t="s">
        <v>38</v>
      </c>
      <c r="B33" s="6" t="s">
        <v>543</v>
      </c>
      <c r="C33" s="7">
        <v>8</v>
      </c>
      <c r="D33" s="7">
        <f>Tabelle3[[#This Row],[Qty]]*10</f>
        <v>80</v>
      </c>
      <c r="E33" s="7">
        <v>0.6</v>
      </c>
      <c r="F33" s="7">
        <f>Tabelle3[[#This Row],[Qty]]*Tabelle3[[#This Row],[Unit Price]]</f>
        <v>4.8</v>
      </c>
      <c r="G33" s="6"/>
      <c r="H33" s="6" t="s">
        <v>101</v>
      </c>
      <c r="I33" s="6" t="s">
        <v>15</v>
      </c>
      <c r="J33" s="6" t="s">
        <v>273</v>
      </c>
      <c r="K33" s="6"/>
      <c r="L33" s="6"/>
      <c r="M33" t="s">
        <v>542</v>
      </c>
    </row>
    <row r="34" spans="1:13" ht="13.75" customHeight="1">
      <c r="A34" s="17" t="s">
        <v>38</v>
      </c>
      <c r="B34" s="6" t="s">
        <v>275</v>
      </c>
      <c r="C34" s="7">
        <v>2</v>
      </c>
      <c r="D34" s="7">
        <f>Tabelle3[[#This Row],[Qty]]*10</f>
        <v>20</v>
      </c>
      <c r="E34" s="7">
        <v>7.45</v>
      </c>
      <c r="F34" s="7">
        <f t="shared" ref="F34:F36" si="3">C34*E34</f>
        <v>14.9</v>
      </c>
      <c r="G34" s="6"/>
      <c r="H34" s="6" t="s">
        <v>101</v>
      </c>
      <c r="I34" s="6"/>
      <c r="J34" s="6"/>
      <c r="K34" s="6"/>
      <c r="L34" s="6"/>
      <c r="M34" t="s">
        <v>542</v>
      </c>
    </row>
    <row r="35" spans="1:13" ht="13.75" customHeight="1">
      <c r="A35" s="17" t="s">
        <v>38</v>
      </c>
      <c r="B35" s="6" t="s">
        <v>274</v>
      </c>
      <c r="C35" s="7">
        <v>3</v>
      </c>
      <c r="D35" s="7">
        <f>Tabelle3[[#This Row],[Qty]]*10</f>
        <v>30</v>
      </c>
      <c r="E35" s="7">
        <v>4.45</v>
      </c>
      <c r="F35" s="7">
        <f t="shared" ref="F35" si="4">C35*E35</f>
        <v>13.350000000000001</v>
      </c>
      <c r="G35" s="6"/>
      <c r="H35" s="6" t="s">
        <v>101</v>
      </c>
      <c r="I35" s="6"/>
      <c r="J35" s="6" t="s">
        <v>276</v>
      </c>
      <c r="K35" s="6"/>
      <c r="L35" s="6"/>
      <c r="M35" t="s">
        <v>542</v>
      </c>
    </row>
    <row r="36" spans="1:13">
      <c r="A36" s="23"/>
      <c r="B36" s="15"/>
      <c r="C36" s="16"/>
      <c r="D36" s="16"/>
      <c r="E36" s="16"/>
      <c r="F36" s="16">
        <f t="shared" si="3"/>
        <v>0</v>
      </c>
      <c r="G36" s="15"/>
      <c r="H36" s="15"/>
      <c r="I36" s="15"/>
      <c r="J36" s="15"/>
      <c r="K36" s="15"/>
      <c r="L36" s="15"/>
    </row>
    <row r="37" spans="1:13">
      <c r="A37" s="2"/>
      <c r="G37">
        <f>SUM(F33:F36)</f>
        <v>33.049999999999997</v>
      </c>
    </row>
    <row r="38" spans="1:13">
      <c r="A38" s="22" t="s">
        <v>39</v>
      </c>
      <c r="B38" s="18" t="s">
        <v>277</v>
      </c>
      <c r="C38" s="19">
        <v>1</v>
      </c>
      <c r="D38" s="19">
        <f>Tabelle3[[#This Row],[Qty]]*10</f>
        <v>10</v>
      </c>
      <c r="E38" s="19">
        <v>10.95</v>
      </c>
      <c r="F38" s="19">
        <f t="shared" ref="F38:F43" si="5">C38*E38</f>
        <v>10.95</v>
      </c>
      <c r="G38" s="18"/>
      <c r="H38" s="18" t="s">
        <v>101</v>
      </c>
      <c r="I38" s="18"/>
      <c r="J38" s="18" t="s">
        <v>472</v>
      </c>
      <c r="K38" s="18"/>
      <c r="L38" s="18"/>
      <c r="M38" t="s">
        <v>542</v>
      </c>
    </row>
    <row r="39" spans="1:13">
      <c r="A39" s="22" t="s">
        <v>39</v>
      </c>
      <c r="B39" s="18" t="s">
        <v>278</v>
      </c>
      <c r="C39" s="19">
        <v>1</v>
      </c>
      <c r="D39" s="19">
        <f>Tabelle3[[#This Row],[Qty]]*10</f>
        <v>10</v>
      </c>
      <c r="E39" s="19">
        <v>7.96</v>
      </c>
      <c r="F39" s="19">
        <f t="shared" si="5"/>
        <v>7.96</v>
      </c>
      <c r="G39" s="18"/>
      <c r="H39" s="18" t="s">
        <v>101</v>
      </c>
      <c r="I39" s="18"/>
      <c r="J39" s="18" t="s">
        <v>473</v>
      </c>
      <c r="K39" s="18"/>
      <c r="L39" s="18"/>
      <c r="M39" t="s">
        <v>542</v>
      </c>
    </row>
    <row r="40" spans="1:13">
      <c r="A40" s="22" t="s">
        <v>39</v>
      </c>
      <c r="B40" s="18" t="s">
        <v>545</v>
      </c>
      <c r="C40" s="19">
        <v>4</v>
      </c>
      <c r="D40" s="19">
        <f>Tabelle3[[#This Row],[Qty]]*10</f>
        <v>40</v>
      </c>
      <c r="E40" s="19">
        <v>0.25</v>
      </c>
      <c r="F40" s="19">
        <f t="shared" si="5"/>
        <v>1</v>
      </c>
      <c r="G40" s="18"/>
      <c r="H40" s="18" t="s">
        <v>101</v>
      </c>
      <c r="I40" s="18" t="s">
        <v>546</v>
      </c>
      <c r="J40" s="18"/>
      <c r="K40" s="18" t="s">
        <v>547</v>
      </c>
      <c r="L40" s="18"/>
      <c r="M40" t="s">
        <v>542</v>
      </c>
    </row>
    <row r="41" spans="1:13">
      <c r="A41" s="22" t="s">
        <v>39</v>
      </c>
      <c r="B41" s="18" t="s">
        <v>544</v>
      </c>
      <c r="C41" s="19">
        <v>4</v>
      </c>
      <c r="D41" s="19">
        <f>Tabelle3[[#This Row],[Qty]]*10</f>
        <v>40</v>
      </c>
      <c r="E41" s="19">
        <v>0.35</v>
      </c>
      <c r="F41" s="19">
        <f t="shared" si="5"/>
        <v>1.4</v>
      </c>
      <c r="G41" s="18"/>
      <c r="H41" s="18" t="s">
        <v>101</v>
      </c>
      <c r="I41" s="18"/>
      <c r="J41" s="18"/>
      <c r="K41" s="18"/>
      <c r="L41" s="18"/>
      <c r="M41" t="s">
        <v>542</v>
      </c>
    </row>
    <row r="42" spans="1:13">
      <c r="A42" s="22" t="s">
        <v>39</v>
      </c>
      <c r="B42" s="18" t="s">
        <v>43</v>
      </c>
      <c r="C42" s="19">
        <v>1</v>
      </c>
      <c r="D42" s="19">
        <f>Tabelle3[[#This Row],[Qty]]*10</f>
        <v>10</v>
      </c>
      <c r="E42" s="19">
        <v>1.8</v>
      </c>
      <c r="F42" s="19">
        <f>C42*E42</f>
        <v>1.8</v>
      </c>
      <c r="G42" s="18"/>
      <c r="H42" s="18" t="s">
        <v>40</v>
      </c>
      <c r="I42" s="18" t="s">
        <v>30</v>
      </c>
      <c r="J42" s="18" t="s">
        <v>515</v>
      </c>
      <c r="K42" s="18"/>
      <c r="L42" s="18"/>
      <c r="M42" t="s">
        <v>588</v>
      </c>
    </row>
    <row r="43" spans="1:13">
      <c r="A43" s="22" t="s">
        <v>39</v>
      </c>
      <c r="B43" s="18" t="s">
        <v>319</v>
      </c>
      <c r="C43" s="19">
        <v>1</v>
      </c>
      <c r="D43" s="19">
        <f>Tabelle3[[#This Row],[Qty]]*10</f>
        <v>10</v>
      </c>
      <c r="E43" s="19">
        <v>9</v>
      </c>
      <c r="F43" s="19">
        <f t="shared" si="5"/>
        <v>9</v>
      </c>
      <c r="G43" s="19"/>
      <c r="H43" s="18" t="s">
        <v>40</v>
      </c>
      <c r="I43" s="18" t="s">
        <v>30</v>
      </c>
      <c r="J43" s="43"/>
      <c r="K43" s="18" t="s">
        <v>320</v>
      </c>
      <c r="L43" s="18"/>
      <c r="M43" t="s">
        <v>588</v>
      </c>
    </row>
    <row r="44" spans="1:13">
      <c r="A44" s="22" t="s">
        <v>39</v>
      </c>
      <c r="B44" s="18" t="s">
        <v>326</v>
      </c>
      <c r="C44" s="19">
        <v>1</v>
      </c>
      <c r="D44" s="19">
        <f>Tabelle3[[#This Row],[Qty]]*10</f>
        <v>10</v>
      </c>
      <c r="E44" s="19">
        <v>0.95</v>
      </c>
      <c r="F44" s="19">
        <f>Tabelle3[[#This Row],[Qty]]*Tabelle3[[#This Row],[Unit Price]]</f>
        <v>0.95</v>
      </c>
      <c r="G44" s="18"/>
      <c r="H44" s="18" t="s">
        <v>101</v>
      </c>
      <c r="I44" s="18"/>
      <c r="J44" s="18" t="s">
        <v>327</v>
      </c>
      <c r="K44" s="18"/>
      <c r="L44" s="18"/>
      <c r="M44" t="s">
        <v>542</v>
      </c>
    </row>
    <row r="45" spans="1:13">
      <c r="A45" s="22" t="s">
        <v>39</v>
      </c>
      <c r="B45" s="18" t="s">
        <v>470</v>
      </c>
      <c r="C45" s="19">
        <v>1</v>
      </c>
      <c r="D45" s="19">
        <f>Tabelle3[[#This Row],[Qty]]*10</f>
        <v>10</v>
      </c>
      <c r="E45" s="19">
        <v>1</v>
      </c>
      <c r="F45" s="19">
        <v>0.95</v>
      </c>
      <c r="G45" s="18"/>
      <c r="H45" s="18" t="s">
        <v>101</v>
      </c>
      <c r="I45" s="18"/>
      <c r="J45" s="18" t="s">
        <v>471</v>
      </c>
      <c r="K45" s="18"/>
      <c r="L45" s="18"/>
      <c r="M45" t="s">
        <v>588</v>
      </c>
    </row>
    <row r="46" spans="1:13">
      <c r="G46">
        <f>SUM(F38:F44)</f>
        <v>33.06</v>
      </c>
    </row>
    <row r="48" spans="1:13">
      <c r="A48" s="30" t="s">
        <v>533</v>
      </c>
      <c r="B48" s="31" t="s">
        <v>494</v>
      </c>
      <c r="C48" s="32">
        <v>1</v>
      </c>
      <c r="D48" s="32">
        <f>Tabelle3[[#This Row],[Qty]]*10</f>
        <v>10</v>
      </c>
      <c r="E48" s="32">
        <v>14.43</v>
      </c>
      <c r="F48" s="32">
        <f>C48*E48</f>
        <v>14.43</v>
      </c>
      <c r="G48" s="33"/>
      <c r="H48" s="33" t="s">
        <v>100</v>
      </c>
      <c r="I48" s="33"/>
      <c r="J48" s="33" t="s">
        <v>495</v>
      </c>
      <c r="K48" s="33"/>
      <c r="L48" s="33"/>
      <c r="M48" t="s">
        <v>542</v>
      </c>
    </row>
    <row r="49" spans="1:13">
      <c r="A49" s="30" t="s">
        <v>533</v>
      </c>
      <c r="B49" s="31" t="s">
        <v>496</v>
      </c>
      <c r="C49" s="32">
        <v>1</v>
      </c>
      <c r="D49" s="32">
        <f>Tabelle3[[#This Row],[Qty]]*10</f>
        <v>10</v>
      </c>
      <c r="E49" s="32">
        <v>34.840000000000003</v>
      </c>
      <c r="F49" s="32">
        <f>C49*E49</f>
        <v>34.840000000000003</v>
      </c>
      <c r="G49" s="33"/>
      <c r="H49" s="31" t="s">
        <v>100</v>
      </c>
      <c r="I49" s="31" t="s">
        <v>40</v>
      </c>
      <c r="J49" s="33" t="s">
        <v>497</v>
      </c>
      <c r="K49" s="33"/>
      <c r="L49" s="33" t="s">
        <v>498</v>
      </c>
      <c r="M49" t="s">
        <v>542</v>
      </c>
    </row>
    <row r="50" spans="1:13">
      <c r="A50" s="30" t="s">
        <v>533</v>
      </c>
      <c r="B50" s="31" t="s">
        <v>537</v>
      </c>
      <c r="C50" s="32">
        <v>0.3</v>
      </c>
      <c r="D50" s="32">
        <f>Tabelle3[[#This Row],[Qty]]*10</f>
        <v>3</v>
      </c>
      <c r="E50" s="32">
        <v>2.02</v>
      </c>
      <c r="F50" s="32">
        <f>C50*E50</f>
        <v>0.60599999999999998</v>
      </c>
      <c r="G50" s="33"/>
      <c r="H50" s="33" t="s">
        <v>35</v>
      </c>
      <c r="I50" s="33" t="s">
        <v>279</v>
      </c>
      <c r="J50" s="33" t="s">
        <v>538</v>
      </c>
      <c r="K50" s="33" t="s">
        <v>489</v>
      </c>
      <c r="L50" s="33"/>
      <c r="M50" t="s">
        <v>542</v>
      </c>
    </row>
    <row r="51" spans="1:13">
      <c r="A51" s="30" t="s">
        <v>533</v>
      </c>
      <c r="B51" s="31" t="s">
        <v>318</v>
      </c>
      <c r="C51" s="32">
        <v>1</v>
      </c>
      <c r="D51" s="32">
        <f>Tabelle3[[#This Row],[Qty]]*10</f>
        <v>10</v>
      </c>
      <c r="E51" s="32">
        <v>3.45</v>
      </c>
      <c r="F51" s="32">
        <f>C51*E51</f>
        <v>3.45</v>
      </c>
      <c r="G51" s="33"/>
      <c r="H51" s="33" t="s">
        <v>101</v>
      </c>
      <c r="I51" s="33"/>
      <c r="J51" s="33" t="s">
        <v>490</v>
      </c>
      <c r="K51" s="33"/>
      <c r="L51" s="33"/>
      <c r="M51" t="s">
        <v>542</v>
      </c>
    </row>
    <row r="52" spans="1:13">
      <c r="A52" s="30" t="s">
        <v>533</v>
      </c>
      <c r="B52" s="31" t="s">
        <v>492</v>
      </c>
      <c r="C52" s="34">
        <v>1</v>
      </c>
      <c r="D52" s="34">
        <f>Tabelle3[[#This Row],[Qty]]*10</f>
        <v>10</v>
      </c>
      <c r="E52" s="34">
        <v>3.71</v>
      </c>
      <c r="F52" s="34">
        <v>3.71</v>
      </c>
      <c r="G52" s="33"/>
      <c r="H52" s="33" t="s">
        <v>40</v>
      </c>
      <c r="I52" s="33"/>
      <c r="J52" s="33" t="s">
        <v>493</v>
      </c>
      <c r="K52" s="33"/>
      <c r="L52" s="33" t="s">
        <v>83</v>
      </c>
      <c r="M52" t="s">
        <v>548</v>
      </c>
    </row>
    <row r="53" spans="1:13">
      <c r="A53" s="33"/>
      <c r="B53" s="31"/>
      <c r="C53" s="34"/>
      <c r="D53" s="34"/>
      <c r="E53" s="34"/>
      <c r="F53" s="34"/>
      <c r="G53" s="33"/>
      <c r="H53" s="33"/>
      <c r="I53" s="33"/>
      <c r="J53" s="33"/>
      <c r="K53" s="33"/>
      <c r="L53" s="33"/>
    </row>
    <row r="54" spans="1:13">
      <c r="G54">
        <f>SUM(F48:F53)</f>
        <v>57.036000000000008</v>
      </c>
    </row>
    <row r="55" spans="1:13">
      <c r="A55" s="27" t="s">
        <v>20</v>
      </c>
      <c r="B55" s="38" t="s">
        <v>88</v>
      </c>
      <c r="C55" s="29">
        <v>1</v>
      </c>
      <c r="D55" s="29">
        <f>Tabelle3[[#This Row],[Qty]]*10</f>
        <v>10</v>
      </c>
      <c r="E55" s="29">
        <v>39</v>
      </c>
      <c r="F55" s="29">
        <f>E55*C55</f>
        <v>39</v>
      </c>
      <c r="G55" s="28"/>
      <c r="H55" s="28" t="s">
        <v>79</v>
      </c>
      <c r="I55" s="28"/>
      <c r="J55" s="28"/>
      <c r="K55" s="28"/>
      <c r="L55" s="28"/>
      <c r="M55" t="s">
        <v>542</v>
      </c>
    </row>
    <row r="56" spans="1:13">
      <c r="A56" s="27" t="s">
        <v>20</v>
      </c>
      <c r="B56" s="35" t="s">
        <v>475</v>
      </c>
      <c r="C56" s="29">
        <v>1</v>
      </c>
      <c r="D56" s="29">
        <f>Tabelle3[[#This Row],[Qty]]*10</f>
        <v>10</v>
      </c>
      <c r="E56" s="29">
        <v>0.95</v>
      </c>
      <c r="F56" s="29">
        <f>E56*C56</f>
        <v>0.95</v>
      </c>
      <c r="G56" s="28"/>
      <c r="H56" s="28" t="s">
        <v>101</v>
      </c>
      <c r="I56" s="28"/>
      <c r="J56" s="28" t="s">
        <v>476</v>
      </c>
      <c r="K56" s="28"/>
      <c r="L56" s="28"/>
      <c r="M56" t="s">
        <v>542</v>
      </c>
    </row>
    <row r="57" spans="1:13">
      <c r="A57" s="27" t="s">
        <v>20</v>
      </c>
      <c r="B57" s="35" t="s">
        <v>286</v>
      </c>
      <c r="C57" s="29">
        <v>1</v>
      </c>
      <c r="D57" s="29">
        <f>Tabelle3[[#This Row],[Qty]]*10</f>
        <v>10</v>
      </c>
      <c r="E57" s="29">
        <v>3.95</v>
      </c>
      <c r="F57" s="29">
        <f>E57*C57</f>
        <v>3.95</v>
      </c>
      <c r="G57" s="28"/>
      <c r="H57" s="28" t="s">
        <v>101</v>
      </c>
      <c r="I57" s="28"/>
      <c r="J57" s="28" t="s">
        <v>474</v>
      </c>
      <c r="K57" s="28"/>
      <c r="L57" s="28"/>
      <c r="M57" t="s">
        <v>542</v>
      </c>
    </row>
    <row r="58" spans="1:13">
      <c r="A58" s="27" t="s">
        <v>20</v>
      </c>
      <c r="B58" s="28" t="s">
        <v>582</v>
      </c>
      <c r="C58" s="29">
        <v>1</v>
      </c>
      <c r="D58" s="29">
        <f>Tabelle3[[#This Row],[Qty]]*10</f>
        <v>10</v>
      </c>
      <c r="E58" s="29">
        <v>3.8</v>
      </c>
      <c r="F58" s="29">
        <f t="shared" ref="F58:F60" si="6">C58*E58</f>
        <v>3.8</v>
      </c>
      <c r="G58" s="28"/>
      <c r="H58" s="28" t="s">
        <v>520</v>
      </c>
      <c r="I58" s="28"/>
      <c r="J58" s="28"/>
      <c r="K58" s="28"/>
      <c r="L58" s="28"/>
      <c r="M58" t="s">
        <v>527</v>
      </c>
    </row>
    <row r="59" spans="1:13">
      <c r="A59" s="27" t="s">
        <v>20</v>
      </c>
      <c r="B59" s="28" t="s">
        <v>583</v>
      </c>
      <c r="C59" s="29">
        <v>2</v>
      </c>
      <c r="D59" s="156">
        <f>Tabelle3[[#This Row],[Qty]]*10</f>
        <v>20</v>
      </c>
      <c r="E59" s="29">
        <f>8/20</f>
        <v>0.4</v>
      </c>
      <c r="F59" s="29">
        <v>0.8</v>
      </c>
      <c r="G59" s="28"/>
      <c r="H59" s="28" t="s">
        <v>520</v>
      </c>
      <c r="I59" s="28"/>
      <c r="J59" s="28" t="s">
        <v>569</v>
      </c>
      <c r="K59" s="28" t="s">
        <v>40</v>
      </c>
      <c r="L59" s="28"/>
      <c r="M59" s="152" t="s">
        <v>542</v>
      </c>
    </row>
    <row r="60" spans="1:13">
      <c r="A60" s="27" t="s">
        <v>20</v>
      </c>
      <c r="B60" s="28" t="s">
        <v>84</v>
      </c>
      <c r="C60" s="29">
        <v>1</v>
      </c>
      <c r="D60" s="29">
        <f>Tabelle3[[#This Row],[Qty]]*10</f>
        <v>10</v>
      </c>
      <c r="E60" s="29">
        <v>8.8800000000000008</v>
      </c>
      <c r="F60" s="29">
        <f t="shared" si="6"/>
        <v>8.8800000000000008</v>
      </c>
      <c r="G60" s="28"/>
      <c r="H60" s="28" t="s">
        <v>79</v>
      </c>
      <c r="I60" s="28"/>
      <c r="J60" s="28" t="s">
        <v>85</v>
      </c>
      <c r="K60" s="28"/>
      <c r="L60" s="28"/>
      <c r="M60" t="s">
        <v>542</v>
      </c>
    </row>
    <row r="61" spans="1:13">
      <c r="A61" s="27" t="s">
        <v>20</v>
      </c>
      <c r="B61" s="38" t="s">
        <v>41</v>
      </c>
      <c r="C61" s="43">
        <v>1</v>
      </c>
      <c r="D61" s="43">
        <f>Tabelle3[[#This Row],[Qty]]*10</f>
        <v>10</v>
      </c>
      <c r="E61" s="43">
        <v>28</v>
      </c>
      <c r="F61" s="43">
        <f t="shared" ref="F61:F68" si="7">C61*E61</f>
        <v>28</v>
      </c>
      <c r="G61" s="43"/>
      <c r="H61" s="38" t="s">
        <v>42</v>
      </c>
      <c r="I61" s="38"/>
      <c r="J61" s="28" t="s">
        <v>485</v>
      </c>
      <c r="K61" s="28"/>
      <c r="L61" s="28"/>
      <c r="M61" t="s">
        <v>542</v>
      </c>
    </row>
    <row r="62" spans="1:13">
      <c r="A62" s="27" t="s">
        <v>20</v>
      </c>
      <c r="B62" s="38" t="s">
        <v>570</v>
      </c>
      <c r="C62" s="43">
        <v>1</v>
      </c>
      <c r="D62" s="43">
        <f>Tabelle3[[#This Row],[Qty]]*10</f>
        <v>10</v>
      </c>
      <c r="E62" s="43">
        <v>9.8000000000000007</v>
      </c>
      <c r="F62" s="43">
        <f t="shared" si="7"/>
        <v>9.8000000000000007</v>
      </c>
      <c r="G62" s="43"/>
      <c r="H62" s="38" t="s">
        <v>30</v>
      </c>
      <c r="I62" s="38"/>
      <c r="J62" s="28" t="s">
        <v>502</v>
      </c>
      <c r="K62" s="28"/>
      <c r="L62" s="28"/>
      <c r="M62" t="s">
        <v>542</v>
      </c>
    </row>
    <row r="63" spans="1:13">
      <c r="A63" s="27" t="s">
        <v>20</v>
      </c>
      <c r="B63" s="28" t="s">
        <v>571</v>
      </c>
      <c r="C63" s="29">
        <v>1</v>
      </c>
      <c r="D63" s="156">
        <f>Tabelle3[[#This Row],[Qty]]*10</f>
        <v>10</v>
      </c>
      <c r="E63" s="29"/>
      <c r="F63" s="29"/>
      <c r="G63" s="28"/>
      <c r="H63" s="28" t="s">
        <v>79</v>
      </c>
      <c r="I63" s="28"/>
      <c r="J63" s="28" t="s">
        <v>573</v>
      </c>
      <c r="K63" s="28"/>
      <c r="L63" s="28"/>
      <c r="M63" t="s">
        <v>542</v>
      </c>
    </row>
    <row r="64" spans="1:13">
      <c r="A64" s="27" t="s">
        <v>20</v>
      </c>
      <c r="B64" s="38" t="s">
        <v>269</v>
      </c>
      <c r="C64" s="43">
        <v>1</v>
      </c>
      <c r="D64" s="43">
        <f>Tabelle3[[#This Row],[Qty]]*10</f>
        <v>10</v>
      </c>
      <c r="E64" s="43">
        <v>6.6</v>
      </c>
      <c r="F64" s="43">
        <f t="shared" si="7"/>
        <v>6.6</v>
      </c>
      <c r="G64" s="43"/>
      <c r="H64" s="38" t="s">
        <v>101</v>
      </c>
      <c r="I64" s="38"/>
      <c r="J64" s="28"/>
      <c r="K64" s="28"/>
      <c r="L64" s="28"/>
      <c r="M64" t="s">
        <v>548</v>
      </c>
    </row>
    <row r="65" spans="1:13">
      <c r="A65" s="27" t="s">
        <v>20</v>
      </c>
      <c r="B65" s="38" t="s">
        <v>549</v>
      </c>
      <c r="C65" s="43">
        <v>1</v>
      </c>
      <c r="D65" s="43">
        <f>Tabelle3[[#This Row],[Qty]]*10</f>
        <v>10</v>
      </c>
      <c r="E65" s="43">
        <v>3.75</v>
      </c>
      <c r="F65" s="43">
        <f t="shared" si="7"/>
        <v>3.75</v>
      </c>
      <c r="G65" s="43"/>
      <c r="H65" s="38" t="s">
        <v>101</v>
      </c>
      <c r="I65" s="38"/>
      <c r="J65" s="28" t="s">
        <v>479</v>
      </c>
      <c r="K65" s="28"/>
      <c r="L65" s="28"/>
      <c r="M65" t="s">
        <v>542</v>
      </c>
    </row>
    <row r="66" spans="1:13">
      <c r="A66" s="27" t="s">
        <v>20</v>
      </c>
      <c r="B66" s="38" t="s">
        <v>477</v>
      </c>
      <c r="C66" s="43">
        <v>1</v>
      </c>
      <c r="D66" s="43">
        <f>Tabelle3[[#This Row],[Qty]]*10</f>
        <v>10</v>
      </c>
      <c r="E66" s="43">
        <v>2.75</v>
      </c>
      <c r="F66" s="43">
        <f t="shared" si="7"/>
        <v>2.75</v>
      </c>
      <c r="G66" s="43"/>
      <c r="H66" s="38" t="s">
        <v>101</v>
      </c>
      <c r="I66" s="38"/>
      <c r="J66" s="28" t="s">
        <v>478</v>
      </c>
      <c r="K66" s="28"/>
      <c r="L66" s="28"/>
      <c r="M66" t="s">
        <v>542</v>
      </c>
    </row>
    <row r="67" spans="1:13">
      <c r="A67" s="27" t="s">
        <v>20</v>
      </c>
      <c r="B67" s="38" t="s">
        <v>483</v>
      </c>
      <c r="C67" s="43">
        <v>1</v>
      </c>
      <c r="D67" s="43">
        <f>Tabelle3[[#This Row],[Qty]]*10</f>
        <v>10</v>
      </c>
      <c r="E67" s="43">
        <v>5</v>
      </c>
      <c r="F67" s="43">
        <f t="shared" si="7"/>
        <v>5</v>
      </c>
      <c r="G67" s="43"/>
      <c r="H67" s="38" t="s">
        <v>79</v>
      </c>
      <c r="I67" s="38"/>
      <c r="J67" s="28" t="s">
        <v>484</v>
      </c>
      <c r="K67" s="28"/>
      <c r="L67" s="28"/>
      <c r="M67" t="s">
        <v>542</v>
      </c>
    </row>
    <row r="68" spans="1:13">
      <c r="A68" s="27" t="s">
        <v>20</v>
      </c>
      <c r="B68" s="38" t="s">
        <v>486</v>
      </c>
      <c r="C68" s="43">
        <v>1</v>
      </c>
      <c r="D68" s="43">
        <f>Tabelle3[[#This Row],[Qty]]*10</f>
        <v>10</v>
      </c>
      <c r="E68" s="43">
        <v>11.5</v>
      </c>
      <c r="F68" s="43">
        <f t="shared" si="7"/>
        <v>11.5</v>
      </c>
      <c r="G68" s="43"/>
      <c r="H68" s="38" t="s">
        <v>79</v>
      </c>
      <c r="I68" s="38" t="s">
        <v>555</v>
      </c>
      <c r="J68" s="28" t="s">
        <v>487</v>
      </c>
      <c r="K68" s="38" t="s">
        <v>554</v>
      </c>
      <c r="L68" s="28"/>
      <c r="M68" s="152" t="s">
        <v>542</v>
      </c>
    </row>
    <row r="69" spans="1:13">
      <c r="A69" s="27" t="s">
        <v>20</v>
      </c>
      <c r="B69" s="38" t="s">
        <v>505</v>
      </c>
      <c r="C69" s="43">
        <v>1</v>
      </c>
      <c r="D69" s="43">
        <f>Tabelle3[[#This Row],[Qty]]*10</f>
        <v>10</v>
      </c>
      <c r="E69" s="43"/>
      <c r="F69" s="43"/>
      <c r="G69" s="43"/>
      <c r="H69" s="38" t="s">
        <v>30</v>
      </c>
      <c r="I69" s="38"/>
      <c r="J69" s="28"/>
      <c r="K69" s="28"/>
      <c r="L69" s="28"/>
      <c r="M69" s="152" t="s">
        <v>542</v>
      </c>
    </row>
    <row r="70" spans="1:13">
      <c r="A70" s="27" t="s">
        <v>20</v>
      </c>
      <c r="B70" s="38" t="s">
        <v>506</v>
      </c>
      <c r="C70" s="43">
        <v>1</v>
      </c>
      <c r="D70" s="43">
        <f>Tabelle3[[#This Row],[Qty]]*10</f>
        <v>10</v>
      </c>
      <c r="E70" s="43"/>
      <c r="F70" s="43"/>
      <c r="G70" s="43"/>
      <c r="H70" s="38" t="s">
        <v>30</v>
      </c>
      <c r="I70" s="38"/>
      <c r="J70" s="28"/>
      <c r="K70" s="28"/>
      <c r="L70" s="28"/>
      <c r="M70" s="152" t="s">
        <v>542</v>
      </c>
    </row>
    <row r="71" spans="1:13">
      <c r="A71" s="27" t="s">
        <v>20</v>
      </c>
      <c r="B71" s="28" t="s">
        <v>562</v>
      </c>
      <c r="C71" s="43">
        <v>1</v>
      </c>
      <c r="D71" s="43">
        <f>Tabelle3[[#This Row],[Qty]]*10</f>
        <v>10</v>
      </c>
      <c r="E71" s="43"/>
      <c r="F71" s="43"/>
      <c r="G71" s="43"/>
      <c r="H71" s="38" t="s">
        <v>520</v>
      </c>
      <c r="I71" s="38" t="s">
        <v>279</v>
      </c>
      <c r="J71" s="28"/>
      <c r="K71" s="28"/>
      <c r="L71" s="28"/>
      <c r="M71" s="152" t="s">
        <v>542</v>
      </c>
    </row>
    <row r="72" spans="1:13">
      <c r="A72" s="27" t="s">
        <v>20</v>
      </c>
      <c r="B72" s="28" t="s">
        <v>563</v>
      </c>
      <c r="C72" s="43">
        <v>1</v>
      </c>
      <c r="D72" s="43">
        <f>Tabelle3[[#This Row],[Qty]]*10</f>
        <v>10</v>
      </c>
      <c r="E72" s="43"/>
      <c r="F72" s="43"/>
      <c r="G72" s="43"/>
      <c r="H72" s="38" t="s">
        <v>520</v>
      </c>
      <c r="I72" s="38" t="s">
        <v>279</v>
      </c>
      <c r="J72" s="28"/>
      <c r="K72" s="28"/>
      <c r="L72" s="28"/>
      <c r="M72" s="152" t="s">
        <v>542</v>
      </c>
    </row>
    <row r="73" spans="1:13">
      <c r="A73" s="27" t="s">
        <v>20</v>
      </c>
      <c r="B73" s="38" t="s">
        <v>567</v>
      </c>
      <c r="C73" s="43">
        <v>1</v>
      </c>
      <c r="D73" s="43">
        <v>2</v>
      </c>
      <c r="E73" s="43">
        <v>12</v>
      </c>
      <c r="F73" s="43"/>
      <c r="G73" s="43"/>
      <c r="H73" s="38" t="s">
        <v>79</v>
      </c>
      <c r="I73" s="38"/>
      <c r="J73" s="28" t="s">
        <v>568</v>
      </c>
      <c r="K73" s="28"/>
      <c r="L73" s="28"/>
      <c r="M73" t="s">
        <v>542</v>
      </c>
    </row>
    <row r="74" spans="1:13">
      <c r="A74" s="27" t="s">
        <v>20</v>
      </c>
      <c r="B74" s="38" t="s">
        <v>572</v>
      </c>
      <c r="C74" s="43">
        <v>1</v>
      </c>
      <c r="D74" s="43">
        <v>10</v>
      </c>
      <c r="E74" s="43"/>
      <c r="F74" s="43"/>
      <c r="G74" s="43"/>
      <c r="H74" s="38" t="s">
        <v>79</v>
      </c>
      <c r="I74" s="38"/>
      <c r="J74" s="28"/>
      <c r="K74" s="28"/>
      <c r="L74" s="28"/>
      <c r="M74" t="s">
        <v>542</v>
      </c>
    </row>
    <row r="75" spans="1:13">
      <c r="A75" s="27" t="s">
        <v>20</v>
      </c>
      <c r="B75" s="38" t="s">
        <v>519</v>
      </c>
      <c r="C75" s="43">
        <v>1</v>
      </c>
      <c r="D75" s="155">
        <f>Tabelle3[[#This Row],[Qty]]*10</f>
        <v>10</v>
      </c>
      <c r="E75" s="43">
        <v>3.45</v>
      </c>
      <c r="F75" s="43">
        <v>3.45</v>
      </c>
      <c r="G75" s="43"/>
      <c r="H75" s="38" t="s">
        <v>520</v>
      </c>
      <c r="I75" s="38"/>
      <c r="J75" s="28" t="s">
        <v>521</v>
      </c>
      <c r="K75" s="28"/>
      <c r="L75" s="28"/>
      <c r="M75" s="152" t="s">
        <v>542</v>
      </c>
    </row>
    <row r="76" spans="1:13">
      <c r="A76" s="27" t="s">
        <v>20</v>
      </c>
      <c r="B76" s="38" t="s">
        <v>587</v>
      </c>
      <c r="C76" s="43">
        <v>1</v>
      </c>
      <c r="D76" s="155">
        <f>Tabelle3[[#This Row],[Qty]]*10</f>
        <v>10</v>
      </c>
      <c r="E76" s="43">
        <v>19</v>
      </c>
      <c r="F76" s="43"/>
      <c r="G76" s="43"/>
      <c r="H76" s="38" t="s">
        <v>79</v>
      </c>
      <c r="I76" s="38"/>
      <c r="J76" s="28"/>
      <c r="K76" s="28"/>
      <c r="L76" s="28"/>
      <c r="M76" t="s">
        <v>527</v>
      </c>
    </row>
    <row r="77" spans="1:13">
      <c r="A77" s="27" t="s">
        <v>20</v>
      </c>
      <c r="B77" s="38" t="s">
        <v>580</v>
      </c>
      <c r="C77" s="43">
        <v>3</v>
      </c>
      <c r="D77" s="155">
        <f>Tabelle3[[#This Row],[Qty]]*10</f>
        <v>30</v>
      </c>
      <c r="E77" s="43"/>
      <c r="F77" s="43"/>
      <c r="G77" s="43"/>
      <c r="H77" s="38" t="s">
        <v>30</v>
      </c>
      <c r="I77" s="38"/>
      <c r="J77" s="28" t="s">
        <v>581</v>
      </c>
      <c r="K77" s="28"/>
      <c r="L77" s="28"/>
      <c r="M77" s="152" t="s">
        <v>542</v>
      </c>
    </row>
    <row r="78" spans="1:13">
      <c r="A78" s="27" t="s">
        <v>20</v>
      </c>
      <c r="B78" s="38" t="s">
        <v>488</v>
      </c>
      <c r="C78" s="43">
        <v>1</v>
      </c>
      <c r="D78" s="43">
        <f>Tabelle3[[#This Row],[Qty]]*10</f>
        <v>10</v>
      </c>
      <c r="E78" s="43">
        <v>3.75</v>
      </c>
      <c r="F78" s="43"/>
      <c r="G78" s="38"/>
      <c r="H78" s="38" t="s">
        <v>40</v>
      </c>
      <c r="I78" s="38"/>
      <c r="J78" s="28" t="s">
        <v>83</v>
      </c>
      <c r="K78" s="28"/>
      <c r="L78" s="28"/>
      <c r="M78" t="s">
        <v>542</v>
      </c>
    </row>
    <row r="79" spans="1:13">
      <c r="G79">
        <f>SUM(F55:F78)</f>
        <v>128.22999999999999</v>
      </c>
    </row>
    <row r="80" spans="1:13">
      <c r="A80" s="39" t="s">
        <v>45</v>
      </c>
      <c r="B80" s="36" t="s">
        <v>574</v>
      </c>
      <c r="C80" s="37">
        <v>1</v>
      </c>
      <c r="D80" s="37">
        <f>Tabelle3[[#This Row],[Qty]]*10</f>
        <v>10</v>
      </c>
      <c r="E80" s="37">
        <v>9.75</v>
      </c>
      <c r="F80" s="37">
        <f>C80*E80</f>
        <v>9.75</v>
      </c>
      <c r="G80" s="36"/>
      <c r="H80" s="36" t="s">
        <v>89</v>
      </c>
      <c r="I80" s="36"/>
      <c r="J80" s="36"/>
      <c r="K80" s="36"/>
      <c r="L80" s="36"/>
      <c r="M80" t="s">
        <v>542</v>
      </c>
    </row>
    <row r="81" spans="1:14">
      <c r="A81" s="39" t="s">
        <v>45</v>
      </c>
      <c r="B81" s="36" t="s">
        <v>575</v>
      </c>
      <c r="C81" s="37">
        <v>1</v>
      </c>
      <c r="D81" s="37">
        <f>Tabelle3[[#This Row],[Qty]]*10</f>
        <v>10</v>
      </c>
      <c r="E81" s="37">
        <v>6.03</v>
      </c>
      <c r="F81" s="37">
        <f>C81*E81</f>
        <v>6.03</v>
      </c>
      <c r="G81" s="36"/>
      <c r="H81" s="36" t="s">
        <v>89</v>
      </c>
      <c r="I81" s="36"/>
      <c r="J81" s="36"/>
      <c r="K81" s="36"/>
      <c r="L81" s="36"/>
      <c r="M81" t="s">
        <v>542</v>
      </c>
    </row>
    <row r="82" spans="1:14">
      <c r="A82" s="39" t="s">
        <v>45</v>
      </c>
      <c r="B82" s="36" t="s">
        <v>576</v>
      </c>
      <c r="C82" s="37">
        <v>3</v>
      </c>
      <c r="D82" s="37">
        <f>Tabelle3[[#This Row],[Qty]]*10</f>
        <v>30</v>
      </c>
      <c r="E82" s="37">
        <v>7.54</v>
      </c>
      <c r="F82" s="37">
        <f>C82*E82</f>
        <v>22.62</v>
      </c>
      <c r="G82" s="36"/>
      <c r="H82" s="36" t="s">
        <v>89</v>
      </c>
      <c r="I82" s="36"/>
      <c r="J82" s="36"/>
      <c r="K82" s="36"/>
      <c r="L82" s="36"/>
      <c r="M82" t="s">
        <v>542</v>
      </c>
    </row>
    <row r="83" spans="1:14">
      <c r="A83" s="39" t="s">
        <v>45</v>
      </c>
      <c r="B83" s="36" t="s">
        <v>577</v>
      </c>
      <c r="C83" s="37">
        <v>1</v>
      </c>
      <c r="D83" s="37">
        <f>Tabelle3[[#This Row],[Qty]]*10</f>
        <v>10</v>
      </c>
      <c r="E83" s="37">
        <v>4.53</v>
      </c>
      <c r="F83" s="37">
        <f>C83*E83</f>
        <v>4.53</v>
      </c>
      <c r="G83" s="36"/>
      <c r="H83" s="36" t="s">
        <v>89</v>
      </c>
      <c r="I83" s="36"/>
      <c r="J83" s="36"/>
      <c r="K83" s="36"/>
      <c r="L83" s="36"/>
      <c r="M83" t="s">
        <v>542</v>
      </c>
    </row>
    <row r="84" spans="1:14">
      <c r="A84" s="39" t="s">
        <v>45</v>
      </c>
      <c r="B84" s="36" t="s">
        <v>328</v>
      </c>
      <c r="C84" s="37"/>
      <c r="D84" s="37"/>
      <c r="E84" s="37"/>
      <c r="F84" s="37">
        <v>7.5</v>
      </c>
      <c r="G84" s="36"/>
      <c r="H84" s="36"/>
      <c r="I84" s="36"/>
      <c r="J84" s="36"/>
      <c r="K84" s="36"/>
      <c r="L84" s="36"/>
    </row>
    <row r="85" spans="1:14">
      <c r="G85">
        <f>SUM(F80:F84)</f>
        <v>50.430000000000007</v>
      </c>
      <c r="N85" t="s">
        <v>48</v>
      </c>
    </row>
    <row r="86" spans="1:14">
      <c r="N86" t="s">
        <v>49</v>
      </c>
    </row>
    <row r="87" spans="1:14">
      <c r="A87" s="27" t="s">
        <v>46</v>
      </c>
      <c r="B87" s="28" t="s">
        <v>522</v>
      </c>
      <c r="C87" s="29">
        <v>150</v>
      </c>
      <c r="D87" s="29">
        <f>Tabelle3[[#This Row],[Qty]]*10</f>
        <v>1500</v>
      </c>
      <c r="E87" s="29">
        <v>0.1158</v>
      </c>
      <c r="F87" s="29">
        <f>C87*E87</f>
        <v>17.37</v>
      </c>
      <c r="G87" s="28"/>
      <c r="H87" s="28" t="s">
        <v>35</v>
      </c>
      <c r="I87" s="28"/>
      <c r="J87" s="28" t="s">
        <v>82</v>
      </c>
      <c r="K87" s="28"/>
      <c r="L87" s="28"/>
      <c r="M87" t="s">
        <v>542</v>
      </c>
    </row>
    <row r="88" spans="1:14">
      <c r="A88" s="27" t="s">
        <v>46</v>
      </c>
      <c r="B88" s="28" t="s">
        <v>51</v>
      </c>
      <c r="C88" s="29">
        <v>32</v>
      </c>
      <c r="D88" s="29">
        <f>Tabelle3[[#This Row],[Qty]]*10</f>
        <v>320</v>
      </c>
      <c r="E88" s="29">
        <v>0.1754</v>
      </c>
      <c r="F88" s="29">
        <f>C88*E88</f>
        <v>5.6128</v>
      </c>
      <c r="G88" s="28"/>
      <c r="H88" s="28" t="s">
        <v>35</v>
      </c>
      <c r="I88" s="28"/>
      <c r="J88" s="28" t="s">
        <v>81</v>
      </c>
      <c r="K88" s="28"/>
      <c r="L88" s="28"/>
      <c r="M88" t="s">
        <v>542</v>
      </c>
    </row>
    <row r="89" spans="1:14">
      <c r="A89" s="27" t="s">
        <v>46</v>
      </c>
      <c r="B89" s="28" t="s">
        <v>539</v>
      </c>
      <c r="C89" s="29">
        <v>24</v>
      </c>
      <c r="D89" s="156">
        <f>Tabelle3[[#This Row],[Qty]]*10</f>
        <v>240</v>
      </c>
      <c r="E89" s="29">
        <v>0.1158</v>
      </c>
      <c r="F89" s="29">
        <f>Tabelle3[[#This Row],[Unit Price]]*Tabelle3[[#This Row],[Qty]]</f>
        <v>2.7791999999999999</v>
      </c>
      <c r="G89" s="28"/>
      <c r="H89" s="28"/>
      <c r="I89" s="28"/>
      <c r="J89" s="28"/>
      <c r="K89" s="28"/>
      <c r="L89" s="28"/>
      <c r="M89" s="152" t="s">
        <v>542</v>
      </c>
    </row>
    <row r="90" spans="1:14">
      <c r="A90" s="27" t="s">
        <v>46</v>
      </c>
      <c r="B90" s="28" t="s">
        <v>540</v>
      </c>
      <c r="C90" s="29">
        <v>24</v>
      </c>
      <c r="D90" s="29">
        <f>Tabelle3[[#This Row],[Qty]]*10</f>
        <v>240</v>
      </c>
      <c r="E90" s="29"/>
      <c r="F90" s="29"/>
      <c r="G90" s="28"/>
      <c r="H90" s="28" t="s">
        <v>531</v>
      </c>
      <c r="I90" s="28" t="s">
        <v>15</v>
      </c>
      <c r="J90" s="28" t="s">
        <v>524</v>
      </c>
      <c r="K90" s="28"/>
      <c r="L90" s="28"/>
      <c r="M90" t="s">
        <v>542</v>
      </c>
    </row>
    <row r="91" spans="1:14">
      <c r="A91" s="27" t="s">
        <v>46</v>
      </c>
      <c r="B91" s="28" t="s">
        <v>564</v>
      </c>
      <c r="C91" s="29">
        <v>150</v>
      </c>
      <c r="D91" s="29">
        <f>Tabelle3[[#This Row],[Qty]]*10</f>
        <v>1500</v>
      </c>
      <c r="E91" s="29">
        <v>7.1999999999999995E-2</v>
      </c>
      <c r="F91" s="29">
        <f>C91*E91</f>
        <v>10.799999999999999</v>
      </c>
      <c r="G91" s="28"/>
      <c r="H91" s="28" t="s">
        <v>531</v>
      </c>
      <c r="I91" s="28" t="s">
        <v>15</v>
      </c>
      <c r="J91" s="28" t="s">
        <v>523</v>
      </c>
      <c r="K91" s="28"/>
      <c r="L91" s="28"/>
      <c r="M91" t="s">
        <v>542</v>
      </c>
    </row>
    <row r="92" spans="1:14">
      <c r="A92" s="27" t="s">
        <v>46</v>
      </c>
      <c r="B92" s="28" t="s">
        <v>50</v>
      </c>
      <c r="C92" s="29">
        <v>1</v>
      </c>
      <c r="D92" s="29">
        <f>Tabelle3[[#This Row],[Qty]]*10</f>
        <v>10</v>
      </c>
      <c r="E92" s="29">
        <v>18</v>
      </c>
      <c r="F92" s="29">
        <f>C92*E92</f>
        <v>18</v>
      </c>
      <c r="G92" s="28"/>
      <c r="H92" s="28" t="s">
        <v>79</v>
      </c>
      <c r="I92" s="28"/>
      <c r="J92" s="38" t="s">
        <v>511</v>
      </c>
      <c r="K92" s="27"/>
      <c r="L92" s="28"/>
      <c r="M92" t="s">
        <v>542</v>
      </c>
    </row>
    <row r="93" spans="1:14">
      <c r="A93" s="27" t="s">
        <v>46</v>
      </c>
      <c r="B93" s="28" t="s">
        <v>52</v>
      </c>
      <c r="C93" s="29">
        <v>4</v>
      </c>
      <c r="D93" s="29">
        <f>Tabelle3[[#This Row],[Qty]]*10</f>
        <v>40</v>
      </c>
      <c r="E93" s="29">
        <v>0.13200000000000001</v>
      </c>
      <c r="F93" s="29">
        <f>C93*E93</f>
        <v>0.52800000000000002</v>
      </c>
      <c r="G93" s="28"/>
      <c r="H93" s="28" t="s">
        <v>40</v>
      </c>
      <c r="I93" s="28"/>
      <c r="J93" s="28" t="s">
        <v>512</v>
      </c>
      <c r="K93" s="28"/>
      <c r="L93" s="28"/>
      <c r="M93" t="s">
        <v>542</v>
      </c>
    </row>
    <row r="94" spans="1:14">
      <c r="A94" s="27" t="s">
        <v>46</v>
      </c>
      <c r="B94" s="28" t="s">
        <v>566</v>
      </c>
      <c r="C94" s="29">
        <v>4</v>
      </c>
      <c r="D94" s="156">
        <f>Tabelle3[[#This Row],[Qty]]*10</f>
        <v>40</v>
      </c>
      <c r="E94" s="29"/>
      <c r="F94" s="29"/>
      <c r="G94" s="28"/>
      <c r="H94" s="28" t="s">
        <v>531</v>
      </c>
      <c r="I94" s="28"/>
      <c r="J94" s="28"/>
      <c r="K94" s="28"/>
      <c r="L94" s="28"/>
      <c r="M94" s="152" t="s">
        <v>542</v>
      </c>
    </row>
    <row r="95" spans="1:14">
      <c r="A95" s="27" t="s">
        <v>46</v>
      </c>
      <c r="B95" s="28" t="s">
        <v>53</v>
      </c>
      <c r="C95" s="29">
        <v>50</v>
      </c>
      <c r="D95" s="29">
        <f>Tabelle3[[#This Row],[Qty]]*10</f>
        <v>500</v>
      </c>
      <c r="E95" s="29">
        <f>2.3/50</f>
        <v>4.5999999999999999E-2</v>
      </c>
      <c r="F95" s="29">
        <v>2.2999999999999998</v>
      </c>
      <c r="G95" s="28"/>
      <c r="H95" s="28" t="s">
        <v>40</v>
      </c>
      <c r="I95" s="28"/>
      <c r="J95" s="28" t="s">
        <v>525</v>
      </c>
      <c r="K95" s="28"/>
      <c r="L95" s="28" t="s">
        <v>513</v>
      </c>
      <c r="M95" t="s">
        <v>542</v>
      </c>
    </row>
    <row r="96" spans="1:14">
      <c r="G96">
        <f>SUM(F87:F95)</f>
        <v>57.389999999999993</v>
      </c>
    </row>
    <row r="97" spans="1:13">
      <c r="A97" s="39" t="s">
        <v>86</v>
      </c>
      <c r="B97" s="36" t="s">
        <v>87</v>
      </c>
      <c r="C97" s="36">
        <v>2</v>
      </c>
      <c r="D97" s="36">
        <f>Tabelle3[[#This Row],[Qty]]*10</f>
        <v>20</v>
      </c>
      <c r="E97" s="36">
        <v>22</v>
      </c>
      <c r="F97" s="36">
        <f>C97*E97</f>
        <v>44</v>
      </c>
      <c r="G97" s="36"/>
      <c r="H97" s="36" t="s">
        <v>79</v>
      </c>
      <c r="I97" s="36"/>
      <c r="J97" s="36" t="s">
        <v>516</v>
      </c>
      <c r="K97" s="36"/>
      <c r="L97" s="36"/>
      <c r="M97" t="s">
        <v>542</v>
      </c>
    </row>
    <row r="99" spans="1:13">
      <c r="G99">
        <f>SUM(F97)</f>
        <v>44</v>
      </c>
    </row>
    <row r="100" spans="1:13">
      <c r="A100" s="27" t="s">
        <v>267</v>
      </c>
      <c r="B100" s="28" t="s">
        <v>268</v>
      </c>
      <c r="C100" s="29">
        <v>4</v>
      </c>
      <c r="D100" s="29">
        <f>Tabelle3[[#This Row],[Qty]]*10</f>
        <v>40</v>
      </c>
      <c r="E100" s="29">
        <f>1+5/8</f>
        <v>1.625</v>
      </c>
      <c r="F100" s="29">
        <f>Tabelle3[[#This Row],[Qty]]*Tabelle3[[#This Row],[Unit Price]]</f>
        <v>6.5</v>
      </c>
      <c r="G100" s="29"/>
      <c r="H100" s="28" t="s">
        <v>30</v>
      </c>
      <c r="I100" s="28"/>
      <c r="J100" s="28" t="s">
        <v>503</v>
      </c>
      <c r="K100" s="28"/>
      <c r="L100" s="28"/>
      <c r="M100" t="s">
        <v>542</v>
      </c>
    </row>
    <row r="101" spans="1:13">
      <c r="A101" s="2"/>
      <c r="B101" s="28" t="s">
        <v>558</v>
      </c>
      <c r="C101" s="28">
        <v>1</v>
      </c>
      <c r="D101" s="28">
        <f>Tabelle3[[#This Row],[Qty]]*10</f>
        <v>10</v>
      </c>
      <c r="E101" s="28">
        <v>2.5</v>
      </c>
      <c r="F101" s="28">
        <f>Tabelle3[[#This Row],[Qty]]*Tabelle3[[#This Row],[Unit Price]]</f>
        <v>2.5</v>
      </c>
      <c r="G101" s="28"/>
      <c r="H101" s="28" t="s">
        <v>79</v>
      </c>
      <c r="I101" s="28" t="s">
        <v>504</v>
      </c>
      <c r="J101" s="28" t="s">
        <v>557</v>
      </c>
      <c r="K101" s="28" t="s">
        <v>556</v>
      </c>
      <c r="L101" s="28"/>
      <c r="M101" t="s">
        <v>542</v>
      </c>
    </row>
    <row r="102" spans="1:13">
      <c r="A102" s="2"/>
      <c r="B102" s="28" t="s">
        <v>280</v>
      </c>
      <c r="C102" s="28">
        <v>1</v>
      </c>
      <c r="D102" s="28">
        <f>Tabelle3[[#This Row],[Qty]]*10</f>
        <v>10</v>
      </c>
      <c r="E102" s="28">
        <v>0.75</v>
      </c>
      <c r="F102" s="28">
        <f>Tabelle3[[#This Row],[Qty]]*Tabelle3[[#This Row],[Unit Price]]</f>
        <v>0.75</v>
      </c>
      <c r="G102" s="28"/>
      <c r="H102" s="28" t="s">
        <v>101</v>
      </c>
      <c r="I102" s="28"/>
      <c r="J102" s="28" t="s">
        <v>482</v>
      </c>
      <c r="K102" s="28"/>
      <c r="L102" s="28"/>
      <c r="M102" t="s">
        <v>542</v>
      </c>
    </row>
    <row r="103" spans="1:13">
      <c r="A103" s="2"/>
      <c r="B103" s="28" t="s">
        <v>584</v>
      </c>
      <c r="C103" s="29">
        <v>1</v>
      </c>
      <c r="D103" s="158">
        <v>1</v>
      </c>
      <c r="E103" s="29">
        <v>4.8499999999999996</v>
      </c>
      <c r="F103" s="29">
        <v>4.8499999999999996</v>
      </c>
      <c r="G103" s="28"/>
      <c r="H103" s="28" t="s">
        <v>585</v>
      </c>
      <c r="I103" s="28"/>
      <c r="J103" s="28" t="s">
        <v>586</v>
      </c>
      <c r="K103" s="28"/>
      <c r="L103" s="28"/>
      <c r="M103" s="152" t="s">
        <v>527</v>
      </c>
    </row>
    <row r="104" spans="1:13">
      <c r="A104" s="2"/>
      <c r="B104" s="28"/>
      <c r="C104" s="29"/>
      <c r="D104" s="158">
        <f>Tabelle3[[#This Row],[Qty]]*10</f>
        <v>0</v>
      </c>
      <c r="E104" s="29"/>
      <c r="F104" s="29"/>
      <c r="G104" s="28"/>
      <c r="H104" s="28"/>
      <c r="I104" s="28"/>
      <c r="J104" s="28"/>
      <c r="K104" s="28"/>
      <c r="L104" s="28"/>
      <c r="M104" s="152"/>
    </row>
    <row r="105" spans="1:13">
      <c r="A105" s="2"/>
      <c r="B105" s="28" t="s">
        <v>480</v>
      </c>
      <c r="C105" s="28">
        <v>1</v>
      </c>
      <c r="D105" s="28">
        <f>Tabelle3[[#This Row],[Qty]]*10</f>
        <v>10</v>
      </c>
      <c r="E105" s="28">
        <v>0.89900000000000002</v>
      </c>
      <c r="F105" s="28">
        <f>Tabelle3[[#This Row],[Qty]]*Tabelle3[[#This Row],[Unit Price]]</f>
        <v>0.89900000000000002</v>
      </c>
      <c r="G105" s="28"/>
      <c r="H105" s="28" t="s">
        <v>79</v>
      </c>
      <c r="I105" s="28"/>
      <c r="J105" s="28" t="s">
        <v>481</v>
      </c>
      <c r="K105" s="28"/>
      <c r="L105" s="28"/>
      <c r="M105" t="s">
        <v>542</v>
      </c>
    </row>
    <row r="107" spans="1:13">
      <c r="A107" s="39" t="s">
        <v>507</v>
      </c>
      <c r="B107" s="153" t="s">
        <v>508</v>
      </c>
      <c r="C107" s="153">
        <v>1</v>
      </c>
      <c r="D107" s="153">
        <f>Tabelle3[[#This Row],[Qty]]*10</f>
        <v>10</v>
      </c>
      <c r="E107" s="153">
        <v>5.5</v>
      </c>
      <c r="F107" s="153">
        <v>5.5</v>
      </c>
      <c r="G107" s="153"/>
      <c r="H107" s="153" t="s">
        <v>79</v>
      </c>
      <c r="I107" s="153"/>
      <c r="J107" s="153" t="s">
        <v>509</v>
      </c>
      <c r="K107" s="153"/>
      <c r="L107" s="153"/>
      <c r="M107" t="s">
        <v>542</v>
      </c>
    </row>
    <row r="108" spans="1:13">
      <c r="A108" s="39"/>
      <c r="B108" s="153" t="s">
        <v>510</v>
      </c>
      <c r="C108" s="153">
        <v>1</v>
      </c>
      <c r="D108" s="153">
        <f>Tabelle3[[#This Row],[Qty]]*10</f>
        <v>10</v>
      </c>
      <c r="E108" s="153"/>
      <c r="F108" s="153"/>
      <c r="G108" s="153"/>
      <c r="H108" s="153" t="s">
        <v>79</v>
      </c>
      <c r="I108" s="153"/>
      <c r="J108" s="153"/>
      <c r="K108" s="153"/>
      <c r="L108" s="153"/>
      <c r="M108" s="154" t="s">
        <v>542</v>
      </c>
    </row>
    <row r="109" spans="1:13">
      <c r="C109"/>
      <c r="D109"/>
      <c r="E109"/>
      <c r="F109"/>
      <c r="G109">
        <f>SUM(F100:F105)</f>
        <v>15.498999999999999</v>
      </c>
    </row>
    <row r="110" spans="1:13">
      <c r="C110"/>
      <c r="D110"/>
      <c r="E110"/>
      <c r="F110"/>
    </row>
    <row r="112" spans="1:13">
      <c r="A112" t="s">
        <v>14</v>
      </c>
      <c r="C112"/>
      <c r="D112"/>
      <c r="E112"/>
      <c r="F112"/>
      <c r="G112">
        <f>SUM(G4:G111)</f>
        <v>607.11620000000005</v>
      </c>
    </row>
    <row r="120" spans="1:6">
      <c r="A120" s="2" t="s">
        <v>14</v>
      </c>
      <c r="F120" s="1">
        <f>SUM(F4:F112)</f>
        <v>623.36619999999982</v>
      </c>
    </row>
  </sheetData>
  <phoneticPr fontId="7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0BBA5-0F3C-4C63-B3D6-0115CE53A0AA}">
  <dimension ref="A1:F23"/>
  <sheetViews>
    <sheetView topLeftCell="A7" workbookViewId="0">
      <selection activeCell="D10" sqref="D10"/>
    </sheetView>
  </sheetViews>
  <sheetFormatPr defaultColWidth="8.81640625" defaultRowHeight="14.5"/>
  <cols>
    <col min="1" max="1" width="22.81640625" customWidth="1"/>
    <col min="2" max="2" width="11" style="1" customWidth="1"/>
    <col min="3" max="3" width="18.36328125" style="98" bestFit="1" customWidth="1"/>
    <col min="4" max="4" width="52.26953125" customWidth="1"/>
  </cols>
  <sheetData>
    <row r="1" spans="1:6" s="2" customFormat="1"/>
    <row r="2" spans="1:6" ht="18.5">
      <c r="A2" s="159" t="s">
        <v>444</v>
      </c>
      <c r="B2" s="159"/>
      <c r="C2" s="159"/>
      <c r="D2" s="159"/>
      <c r="E2" s="159"/>
      <c r="F2" s="159"/>
    </row>
    <row r="3" spans="1:6">
      <c r="A3" s="140" t="s">
        <v>314</v>
      </c>
      <c r="B3" s="140" t="s">
        <v>334</v>
      </c>
      <c r="C3" s="140" t="s">
        <v>437</v>
      </c>
      <c r="D3" s="140" t="s">
        <v>438</v>
      </c>
      <c r="E3" s="140" t="s">
        <v>517</v>
      </c>
      <c r="F3" s="140"/>
    </row>
    <row r="4" spans="1:6">
      <c r="A4" t="s">
        <v>330</v>
      </c>
      <c r="B4" s="1">
        <v>2</v>
      </c>
      <c r="C4" s="98" t="s">
        <v>331</v>
      </c>
      <c r="D4" t="s">
        <v>440</v>
      </c>
      <c r="E4">
        <v>1.6</v>
      </c>
    </row>
    <row r="5" spans="1:6">
      <c r="A5" t="s">
        <v>332</v>
      </c>
      <c r="B5" s="1">
        <v>2</v>
      </c>
      <c r="C5" s="98" t="s">
        <v>439</v>
      </c>
      <c r="D5" t="s">
        <v>440</v>
      </c>
      <c r="E5">
        <v>1.6</v>
      </c>
    </row>
    <row r="6" spans="1:6">
      <c r="A6" t="s">
        <v>333</v>
      </c>
      <c r="B6" s="1">
        <v>2</v>
      </c>
      <c r="C6" s="98" t="s">
        <v>439</v>
      </c>
      <c r="D6" t="s">
        <v>440</v>
      </c>
      <c r="E6">
        <v>1.6</v>
      </c>
    </row>
    <row r="7" spans="1:6">
      <c r="A7" t="s">
        <v>337</v>
      </c>
      <c r="B7" s="1">
        <v>2</v>
      </c>
      <c r="C7" s="98" t="s">
        <v>439</v>
      </c>
      <c r="D7" s="98" t="s">
        <v>439</v>
      </c>
      <c r="E7">
        <v>1.6</v>
      </c>
    </row>
    <row r="8" spans="1:6">
      <c r="A8" t="s">
        <v>336</v>
      </c>
      <c r="B8" s="1">
        <v>2</v>
      </c>
      <c r="C8" s="98" t="s">
        <v>439</v>
      </c>
      <c r="D8" t="s">
        <v>441</v>
      </c>
      <c r="E8">
        <v>1.6</v>
      </c>
    </row>
    <row r="9" spans="1:6">
      <c r="A9" t="s">
        <v>338</v>
      </c>
      <c r="B9" s="1">
        <v>4</v>
      </c>
      <c r="C9" s="98" t="s">
        <v>442</v>
      </c>
      <c r="D9" t="s">
        <v>442</v>
      </c>
      <c r="E9">
        <v>1.6</v>
      </c>
    </row>
    <row r="10" spans="1:6">
      <c r="A10" t="s">
        <v>343</v>
      </c>
      <c r="B10" s="146">
        <v>3</v>
      </c>
      <c r="C10" s="98" t="s">
        <v>443</v>
      </c>
      <c r="D10" t="s">
        <v>445</v>
      </c>
      <c r="E10">
        <v>1.6</v>
      </c>
    </row>
    <row r="12" spans="1:6" ht="13" customHeight="1"/>
    <row r="15" spans="1:6">
      <c r="A15" t="s">
        <v>446</v>
      </c>
    </row>
    <row r="16" spans="1:6">
      <c r="A16" s="2" t="s">
        <v>314</v>
      </c>
      <c r="B16" s="140" t="s">
        <v>448</v>
      </c>
      <c r="C16" s="147" t="s">
        <v>449</v>
      </c>
      <c r="D16" t="s">
        <v>231</v>
      </c>
    </row>
    <row r="17" spans="1:5">
      <c r="A17" t="s">
        <v>335</v>
      </c>
      <c r="B17" s="1">
        <v>2</v>
      </c>
      <c r="C17" t="s">
        <v>450</v>
      </c>
      <c r="E17">
        <v>0.9</v>
      </c>
    </row>
    <row r="18" spans="1:5">
      <c r="A18" t="s">
        <v>339</v>
      </c>
      <c r="B18" s="1">
        <v>4</v>
      </c>
      <c r="C18" t="s">
        <v>340</v>
      </c>
      <c r="E18">
        <v>1</v>
      </c>
    </row>
    <row r="19" spans="1:5">
      <c r="A19" t="s">
        <v>341</v>
      </c>
      <c r="B19" s="1">
        <v>4</v>
      </c>
      <c r="C19" t="s">
        <v>340</v>
      </c>
      <c r="E19">
        <v>1</v>
      </c>
    </row>
    <row r="20" spans="1:5">
      <c r="A20" t="s">
        <v>342</v>
      </c>
      <c r="B20" s="1">
        <v>4</v>
      </c>
      <c r="C20" t="s">
        <v>340</v>
      </c>
      <c r="E20">
        <v>0.2</v>
      </c>
    </row>
    <row r="21" spans="1:5">
      <c r="A21" t="s">
        <v>447</v>
      </c>
      <c r="B21" s="1">
        <v>4</v>
      </c>
      <c r="C21" s="98" t="s">
        <v>598</v>
      </c>
      <c r="E21">
        <v>0.5</v>
      </c>
    </row>
    <row r="22" spans="1:5">
      <c r="A22" t="s">
        <v>451</v>
      </c>
      <c r="B22" s="1">
        <v>2</v>
      </c>
      <c r="C22" s="98" t="s">
        <v>452</v>
      </c>
      <c r="E22">
        <v>0.2</v>
      </c>
    </row>
    <row r="23" spans="1:5">
      <c r="A23" t="s">
        <v>453</v>
      </c>
      <c r="B23" s="1">
        <v>2</v>
      </c>
      <c r="C23" s="98" t="s">
        <v>454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0909B-C51E-4955-A0D2-CF59FDE0E292}">
  <dimension ref="A1:D21"/>
  <sheetViews>
    <sheetView workbookViewId="0">
      <selection activeCell="A8" sqref="A8"/>
    </sheetView>
  </sheetViews>
  <sheetFormatPr defaultColWidth="10.81640625" defaultRowHeight="14.5"/>
  <cols>
    <col min="1" max="1" width="15.6328125" customWidth="1"/>
  </cols>
  <sheetData>
    <row r="1" spans="1:4">
      <c r="A1" s="3"/>
      <c r="B1" s="3"/>
      <c r="C1" s="3"/>
    </row>
    <row r="2" spans="1:4" ht="20.5" thickBot="1">
      <c r="A2" s="25" t="s">
        <v>54</v>
      </c>
      <c r="B2" s="25" t="s">
        <v>47</v>
      </c>
      <c r="C2" s="25" t="s">
        <v>55</v>
      </c>
    </row>
    <row r="3" spans="1:4" ht="15" thickBot="1">
      <c r="A3" s="125">
        <v>0.45</v>
      </c>
      <c r="B3" s="26" t="s">
        <v>56</v>
      </c>
      <c r="C3" s="26" t="s">
        <v>57</v>
      </c>
    </row>
    <row r="4" spans="1:4" ht="15" thickBot="1">
      <c r="A4" s="125">
        <v>0.5</v>
      </c>
      <c r="B4" s="26" t="s">
        <v>58</v>
      </c>
      <c r="C4" s="26" t="s">
        <v>59</v>
      </c>
    </row>
    <row r="5" spans="1:4" ht="15" thickBot="1">
      <c r="A5" s="125">
        <v>0.75</v>
      </c>
      <c r="B5" s="26" t="s">
        <v>60</v>
      </c>
      <c r="C5" s="26" t="s">
        <v>61</v>
      </c>
    </row>
    <row r="6" spans="1:4" ht="15" thickBot="1">
      <c r="A6" s="125">
        <v>1</v>
      </c>
      <c r="B6" s="26" t="s">
        <v>62</v>
      </c>
      <c r="C6" s="26" t="s">
        <v>63</v>
      </c>
    </row>
    <row r="7" spans="1:4" ht="15" thickBot="1">
      <c r="A7" s="125">
        <v>1.5</v>
      </c>
      <c r="B7" s="26" t="s">
        <v>64</v>
      </c>
      <c r="C7" s="26" t="s">
        <v>65</v>
      </c>
    </row>
    <row r="8" spans="1:4" ht="15" thickBot="1">
      <c r="A8" s="125">
        <v>2.5</v>
      </c>
      <c r="B8" s="26" t="s">
        <v>66</v>
      </c>
      <c r="C8" s="26" t="s">
        <v>67</v>
      </c>
    </row>
    <row r="9" spans="1:4" ht="15" thickBot="1">
      <c r="A9" s="125">
        <v>4</v>
      </c>
      <c r="B9" s="26" t="s">
        <v>68</v>
      </c>
      <c r="C9" s="26" t="s">
        <v>69</v>
      </c>
    </row>
    <row r="10" spans="1:4" ht="15" thickBot="1">
      <c r="A10" s="125">
        <v>6</v>
      </c>
      <c r="B10" s="26" t="s">
        <v>70</v>
      </c>
      <c r="C10" s="26" t="s">
        <v>71</v>
      </c>
    </row>
    <row r="11" spans="1:4" ht="15" thickBot="1">
      <c r="A11" s="125">
        <v>10</v>
      </c>
      <c r="B11" s="26" t="s">
        <v>73</v>
      </c>
      <c r="C11" s="26" t="s">
        <v>74</v>
      </c>
    </row>
    <row r="12" spans="1:4" ht="15" thickBot="1">
      <c r="A12" s="125">
        <v>16</v>
      </c>
      <c r="B12" s="26" t="s">
        <v>75</v>
      </c>
      <c r="C12" s="26" t="s">
        <v>76</v>
      </c>
    </row>
    <row r="13" spans="1:4" ht="15" thickBot="1">
      <c r="A13" s="125">
        <v>25</v>
      </c>
      <c r="B13" s="26" t="s">
        <v>77</v>
      </c>
      <c r="C13" s="26" t="s">
        <v>78</v>
      </c>
    </row>
    <row r="16" spans="1:4">
      <c r="B16" s="1"/>
      <c r="C16" s="1"/>
      <c r="D16" s="1"/>
    </row>
    <row r="17" spans="2:4">
      <c r="B17" s="1"/>
      <c r="C17" s="1"/>
      <c r="D17" s="24"/>
    </row>
    <row r="18" spans="2:4">
      <c r="B18" s="1"/>
      <c r="C18" s="1"/>
      <c r="D18" s="24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FED0-B467-4B5B-84D6-F53CB31A1B69}">
  <dimension ref="A2:O156"/>
  <sheetViews>
    <sheetView tabSelected="1" topLeftCell="B2" zoomScaleNormal="100" workbookViewId="0">
      <selection activeCell="N134" sqref="N134"/>
    </sheetView>
  </sheetViews>
  <sheetFormatPr defaultColWidth="8.6328125" defaultRowHeight="14.5"/>
  <cols>
    <col min="1" max="1" width="0" style="127" hidden="1" customWidth="1"/>
    <col min="2" max="3" width="9.453125" style="127" customWidth="1"/>
    <col min="4" max="4" width="7.90625" style="127" customWidth="1"/>
    <col min="5" max="5" width="9.453125" style="127" customWidth="1"/>
    <col min="6" max="6" width="5.26953125" style="127" customWidth="1"/>
    <col min="7" max="8" width="7.453125" style="127" customWidth="1"/>
    <col min="9" max="9" width="9" style="127" customWidth="1"/>
    <col min="10" max="10" width="14.6328125" style="127" customWidth="1"/>
    <col min="11" max="11" width="10.36328125" style="127" customWidth="1"/>
    <col min="12" max="12" width="38.6328125" style="127" bestFit="1" customWidth="1"/>
    <col min="13" max="13" width="6.08984375" style="131" customWidth="1"/>
    <col min="14" max="27" width="12.453125" style="127" customWidth="1"/>
    <col min="28" max="1026" width="14.453125" style="127" customWidth="1"/>
    <col min="1027" max="16384" width="8.6328125" style="127"/>
  </cols>
  <sheetData>
    <row r="2" spans="1:15" ht="15" customHeight="1">
      <c r="A2" s="127" t="s">
        <v>287</v>
      </c>
      <c r="B2" s="127" t="s">
        <v>308</v>
      </c>
    </row>
    <row r="3" spans="1:15" ht="15" customHeight="1">
      <c r="A3" s="127" t="s">
        <v>288</v>
      </c>
      <c r="B3" s="127" t="s">
        <v>288</v>
      </c>
      <c r="C3" s="128" t="s">
        <v>289</v>
      </c>
      <c r="D3" s="128" t="s">
        <v>29</v>
      </c>
      <c r="E3" s="128" t="s">
        <v>215</v>
      </c>
      <c r="F3" s="128"/>
      <c r="G3" s="128"/>
      <c r="I3" s="128" t="s">
        <v>323</v>
      </c>
      <c r="J3" s="128" t="s">
        <v>314</v>
      </c>
      <c r="K3" s="128" t="s">
        <v>361</v>
      </c>
      <c r="L3" s="128" t="s">
        <v>315</v>
      </c>
      <c r="M3" s="130" t="s">
        <v>324</v>
      </c>
      <c r="O3" s="143"/>
    </row>
    <row r="4" spans="1:15" ht="15" hidden="1" customHeight="1">
      <c r="A4" s="127">
        <v>4</v>
      </c>
      <c r="B4" s="127">
        <v>4</v>
      </c>
      <c r="C4" s="127" t="s">
        <v>290</v>
      </c>
      <c r="D4" s="127" t="s">
        <v>599</v>
      </c>
      <c r="E4" s="127" t="s">
        <v>291</v>
      </c>
      <c r="F4" s="127">
        <v>50</v>
      </c>
      <c r="G4" s="127">
        <v>3.76</v>
      </c>
      <c r="I4" s="127">
        <v>1</v>
      </c>
      <c r="J4" s="144" t="s">
        <v>309</v>
      </c>
      <c r="L4" s="129" t="s">
        <v>296</v>
      </c>
      <c r="M4" s="131">
        <v>1</v>
      </c>
      <c r="O4" s="143"/>
    </row>
    <row r="5" spans="1:15" ht="15" customHeight="1">
      <c r="A5" s="127">
        <v>8</v>
      </c>
      <c r="B5" s="127">
        <v>8</v>
      </c>
      <c r="C5" s="127" t="s">
        <v>290</v>
      </c>
      <c r="D5" s="127" t="s">
        <v>599</v>
      </c>
      <c r="E5" s="127" t="s">
        <v>292</v>
      </c>
      <c r="F5" s="127">
        <v>50</v>
      </c>
      <c r="G5" s="127">
        <v>3.77</v>
      </c>
      <c r="I5" s="137"/>
      <c r="J5" s="137"/>
      <c r="K5" s="137"/>
      <c r="L5" s="138" t="s">
        <v>321</v>
      </c>
      <c r="M5" s="139">
        <v>2</v>
      </c>
      <c r="O5" s="143"/>
    </row>
    <row r="6" spans="1:15" ht="15" hidden="1" customHeight="1">
      <c r="A6" s="127">
        <v>14</v>
      </c>
      <c r="B6" s="127">
        <v>22</v>
      </c>
      <c r="C6" s="127" t="s">
        <v>290</v>
      </c>
      <c r="D6" s="127" t="s">
        <v>599</v>
      </c>
      <c r="E6" s="127" t="s">
        <v>293</v>
      </c>
      <c r="F6" s="127">
        <v>50</v>
      </c>
      <c r="G6" s="127">
        <v>4.16</v>
      </c>
      <c r="I6" s="137"/>
      <c r="J6" s="137"/>
      <c r="K6" s="137"/>
      <c r="L6" s="138" t="s">
        <v>322</v>
      </c>
      <c r="M6" s="139">
        <v>2</v>
      </c>
      <c r="O6" s="143"/>
    </row>
    <row r="7" spans="1:15" ht="15" hidden="1" customHeight="1">
      <c r="A7" s="127">
        <v>6</v>
      </c>
      <c r="B7" s="127">
        <v>6</v>
      </c>
      <c r="C7" s="127" t="s">
        <v>290</v>
      </c>
      <c r="D7" s="127" t="s">
        <v>599</v>
      </c>
      <c r="E7" s="127" t="s">
        <v>294</v>
      </c>
      <c r="F7" s="127">
        <v>30</v>
      </c>
      <c r="G7" s="127">
        <v>4.16</v>
      </c>
      <c r="I7" s="137">
        <v>1</v>
      </c>
      <c r="J7" s="145" t="s">
        <v>310</v>
      </c>
      <c r="K7" s="137"/>
      <c r="L7" s="138" t="s">
        <v>296</v>
      </c>
      <c r="M7" s="139">
        <v>1</v>
      </c>
      <c r="O7" s="143"/>
    </row>
    <row r="8" spans="1:15" ht="15" customHeight="1">
      <c r="A8" s="127">
        <v>12</v>
      </c>
      <c r="B8" s="127">
        <v>12</v>
      </c>
      <c r="C8" s="127" t="s">
        <v>290</v>
      </c>
      <c r="D8" s="127" t="s">
        <v>599</v>
      </c>
      <c r="E8" s="127" t="s">
        <v>295</v>
      </c>
      <c r="F8" s="127">
        <v>30</v>
      </c>
      <c r="G8" s="127">
        <v>4.2699999999999996</v>
      </c>
      <c r="I8" s="137"/>
      <c r="J8" s="137"/>
      <c r="K8" s="137"/>
      <c r="L8" s="138" t="s">
        <v>321</v>
      </c>
      <c r="M8" s="139">
        <v>2</v>
      </c>
    </row>
    <row r="9" spans="1:15" ht="15" hidden="1" customHeight="1">
      <c r="A9" s="127">
        <v>5</v>
      </c>
      <c r="B9" s="127">
        <v>5</v>
      </c>
      <c r="C9" s="127" t="s">
        <v>290</v>
      </c>
      <c r="D9" s="127" t="s">
        <v>599</v>
      </c>
      <c r="E9" s="127" t="s">
        <v>296</v>
      </c>
      <c r="F9" s="127">
        <v>30</v>
      </c>
      <c r="G9" s="127">
        <v>4.3</v>
      </c>
      <c r="I9" s="137"/>
      <c r="J9" s="137"/>
      <c r="K9" s="137"/>
      <c r="L9" s="138" t="s">
        <v>322</v>
      </c>
      <c r="M9" s="139">
        <v>2</v>
      </c>
    </row>
    <row r="10" spans="1:15" ht="15" hidden="1" customHeight="1">
      <c r="A10" s="127">
        <v>5</v>
      </c>
      <c r="B10" s="127">
        <v>9</v>
      </c>
      <c r="C10" s="127" t="s">
        <v>290</v>
      </c>
      <c r="D10" s="127" t="s">
        <v>599</v>
      </c>
      <c r="E10" s="127" t="s">
        <v>297</v>
      </c>
      <c r="F10" s="127">
        <v>30</v>
      </c>
      <c r="G10" s="127">
        <v>4.8499999999999996</v>
      </c>
      <c r="I10" s="137">
        <v>1</v>
      </c>
      <c r="J10" s="145" t="s">
        <v>311</v>
      </c>
      <c r="K10" s="137"/>
      <c r="L10" s="138" t="s">
        <v>296</v>
      </c>
      <c r="M10" s="139">
        <v>1</v>
      </c>
    </row>
    <row r="11" spans="1:15" ht="15" hidden="1" customHeight="1">
      <c r="A11" s="127">
        <v>6</v>
      </c>
      <c r="B11" s="127">
        <v>6</v>
      </c>
      <c r="C11" s="127" t="s">
        <v>290</v>
      </c>
      <c r="D11" s="127" t="s">
        <v>599</v>
      </c>
      <c r="E11" s="127" t="s">
        <v>298</v>
      </c>
      <c r="F11" s="127">
        <v>30</v>
      </c>
      <c r="G11" s="127">
        <v>5.36</v>
      </c>
      <c r="I11" s="137"/>
      <c r="J11" s="145"/>
      <c r="K11" s="137"/>
      <c r="L11" s="138" t="s">
        <v>298</v>
      </c>
      <c r="M11" s="139">
        <v>1</v>
      </c>
    </row>
    <row r="12" spans="1:15" hidden="1">
      <c r="G12" s="127">
        <f>SUM(G4:G11)</f>
        <v>34.629999999999995</v>
      </c>
      <c r="I12" s="137"/>
      <c r="J12" s="137"/>
      <c r="K12" s="137"/>
      <c r="L12" s="138" t="s">
        <v>313</v>
      </c>
      <c r="M12" s="139">
        <v>2</v>
      </c>
    </row>
    <row r="13" spans="1:15" ht="15" customHeight="1">
      <c r="A13" s="127">
        <v>6</v>
      </c>
      <c r="B13" s="127">
        <v>6</v>
      </c>
      <c r="C13" s="127" t="s">
        <v>299</v>
      </c>
      <c r="D13" s="127" t="s">
        <v>300</v>
      </c>
      <c r="E13" s="127" t="s">
        <v>301</v>
      </c>
      <c r="I13" s="137"/>
      <c r="J13" s="137"/>
      <c r="K13" s="137"/>
      <c r="L13" s="138" t="s">
        <v>321</v>
      </c>
      <c r="M13" s="139">
        <v>2</v>
      </c>
    </row>
    <row r="14" spans="1:15" hidden="1">
      <c r="I14" s="137"/>
      <c r="J14" s="137"/>
      <c r="K14" s="137"/>
      <c r="L14" s="138" t="s">
        <v>322</v>
      </c>
      <c r="M14" s="139">
        <v>2</v>
      </c>
    </row>
    <row r="15" spans="1:15" ht="15" hidden="1" customHeight="1">
      <c r="A15" s="127">
        <v>8</v>
      </c>
      <c r="B15" s="127">
        <v>12</v>
      </c>
      <c r="C15" s="127" t="s">
        <v>302</v>
      </c>
      <c r="D15" s="127" t="s">
        <v>303</v>
      </c>
      <c r="E15" s="127" t="s">
        <v>304</v>
      </c>
      <c r="I15" s="137">
        <v>1</v>
      </c>
      <c r="J15" s="145" t="s">
        <v>312</v>
      </c>
      <c r="K15" s="137"/>
      <c r="L15" s="138" t="s">
        <v>296</v>
      </c>
      <c r="M15" s="139">
        <v>1</v>
      </c>
    </row>
    <row r="16" spans="1:15" hidden="1">
      <c r="I16" s="137"/>
      <c r="J16" s="137"/>
      <c r="K16" s="137"/>
      <c r="L16" s="138" t="s">
        <v>298</v>
      </c>
      <c r="M16" s="139">
        <v>1</v>
      </c>
    </row>
    <row r="17" spans="1:15" ht="15" hidden="1" customHeight="1">
      <c r="A17" s="127">
        <v>4</v>
      </c>
      <c r="B17" s="127">
        <v>4</v>
      </c>
      <c r="C17" s="127" t="s">
        <v>305</v>
      </c>
      <c r="D17" s="127" t="s">
        <v>306</v>
      </c>
      <c r="E17" s="127" t="s">
        <v>307</v>
      </c>
      <c r="I17" s="137"/>
      <c r="J17" s="137"/>
      <c r="K17" s="137"/>
      <c r="L17" s="138" t="s">
        <v>313</v>
      </c>
      <c r="M17" s="139">
        <v>2</v>
      </c>
    </row>
    <row r="18" spans="1:15">
      <c r="I18" s="137"/>
      <c r="J18" s="137"/>
      <c r="K18" s="137"/>
      <c r="L18" s="138" t="s">
        <v>321</v>
      </c>
      <c r="M18" s="139">
        <v>2</v>
      </c>
    </row>
    <row r="19" spans="1:15" hidden="1">
      <c r="I19" s="137"/>
      <c r="J19" s="137"/>
      <c r="K19" s="137"/>
      <c r="L19" s="138" t="s">
        <v>322</v>
      </c>
      <c r="M19" s="139">
        <v>2</v>
      </c>
    </row>
    <row r="20" spans="1:15" ht="15.5" hidden="1">
      <c r="I20" s="137">
        <v>2</v>
      </c>
      <c r="J20" s="145" t="s">
        <v>415</v>
      </c>
      <c r="K20" s="137"/>
      <c r="L20" s="138" t="s">
        <v>297</v>
      </c>
      <c r="M20" s="139">
        <v>1</v>
      </c>
      <c r="O20" s="143"/>
    </row>
    <row r="21" spans="1:15" ht="15.5" hidden="1">
      <c r="I21" s="137"/>
      <c r="J21" s="137"/>
      <c r="K21" s="137"/>
      <c r="L21" s="138" t="s">
        <v>313</v>
      </c>
      <c r="M21" s="139">
        <v>1</v>
      </c>
      <c r="O21" s="143"/>
    </row>
    <row r="22" spans="1:15" ht="15.5">
      <c r="I22" s="137"/>
      <c r="J22" s="137"/>
      <c r="K22" s="137"/>
      <c r="L22" s="138" t="s">
        <v>321</v>
      </c>
      <c r="M22" s="139">
        <v>2</v>
      </c>
      <c r="O22" s="143"/>
    </row>
    <row r="23" spans="1:15" ht="15.5" hidden="1">
      <c r="I23" s="137"/>
      <c r="J23" s="137"/>
      <c r="K23" s="137"/>
      <c r="L23" s="138" t="s">
        <v>322</v>
      </c>
      <c r="M23" s="139">
        <v>2</v>
      </c>
      <c r="O23" s="143"/>
    </row>
    <row r="24" spans="1:15" ht="15.5" hidden="1">
      <c r="I24" s="137">
        <v>2</v>
      </c>
      <c r="J24" s="145" t="s">
        <v>416</v>
      </c>
      <c r="K24" s="137"/>
      <c r="L24" s="138" t="s">
        <v>297</v>
      </c>
      <c r="M24" s="139">
        <v>1</v>
      </c>
      <c r="O24" s="143"/>
    </row>
    <row r="25" spans="1:15" hidden="1">
      <c r="I25" s="137"/>
      <c r="J25" s="137"/>
      <c r="K25" s="137"/>
      <c r="L25" s="138" t="s">
        <v>313</v>
      </c>
      <c r="M25" s="139">
        <v>1</v>
      </c>
    </row>
    <row r="26" spans="1:15">
      <c r="I26" s="137"/>
      <c r="J26" s="137"/>
      <c r="K26" s="137"/>
      <c r="L26" s="138" t="s">
        <v>321</v>
      </c>
      <c r="M26" s="139">
        <v>2</v>
      </c>
    </row>
    <row r="27" spans="1:15" hidden="1">
      <c r="I27" s="137"/>
      <c r="J27" s="137"/>
      <c r="K27" s="137"/>
      <c r="L27" s="138" t="s">
        <v>322</v>
      </c>
      <c r="M27" s="139">
        <v>2</v>
      </c>
    </row>
    <row r="28" spans="1:15" hidden="1">
      <c r="I28" s="137">
        <v>2</v>
      </c>
      <c r="J28" s="144" t="s">
        <v>316</v>
      </c>
      <c r="K28" s="137"/>
      <c r="L28" s="138" t="s">
        <v>297</v>
      </c>
      <c r="M28" s="139">
        <v>1</v>
      </c>
    </row>
    <row r="29" spans="1:15" hidden="1">
      <c r="I29" s="137"/>
      <c r="J29" s="137"/>
      <c r="K29" s="137"/>
      <c r="L29" s="138" t="s">
        <v>313</v>
      </c>
      <c r="M29" s="139">
        <v>1</v>
      </c>
    </row>
    <row r="30" spans="1:15">
      <c r="I30" s="137"/>
      <c r="J30" s="137"/>
      <c r="K30" s="137"/>
      <c r="L30" s="138" t="s">
        <v>321</v>
      </c>
      <c r="M30" s="139">
        <v>2</v>
      </c>
    </row>
    <row r="31" spans="1:15" hidden="1">
      <c r="I31" s="137"/>
      <c r="J31" s="137"/>
      <c r="K31" s="137"/>
      <c r="L31" s="138" t="s">
        <v>322</v>
      </c>
      <c r="M31" s="139">
        <v>2</v>
      </c>
    </row>
    <row r="32" spans="1:15" hidden="1">
      <c r="I32" s="137">
        <v>2</v>
      </c>
      <c r="J32" s="145" t="s">
        <v>317</v>
      </c>
      <c r="K32" s="137"/>
      <c r="L32" s="138" t="s">
        <v>297</v>
      </c>
      <c r="M32" s="139">
        <v>1</v>
      </c>
    </row>
    <row r="33" spans="9:13" hidden="1">
      <c r="I33" s="137"/>
      <c r="J33" s="137"/>
      <c r="K33" s="137"/>
      <c r="L33" s="138" t="s">
        <v>313</v>
      </c>
      <c r="M33" s="139">
        <v>1</v>
      </c>
    </row>
    <row r="34" spans="9:13">
      <c r="I34" s="137"/>
      <c r="J34" s="137"/>
      <c r="K34" s="137"/>
      <c r="L34" s="138" t="s">
        <v>321</v>
      </c>
      <c r="M34" s="139">
        <v>2</v>
      </c>
    </row>
    <row r="35" spans="9:13" hidden="1">
      <c r="I35" s="137"/>
      <c r="J35" s="137"/>
      <c r="K35" s="137"/>
      <c r="L35" s="138" t="s">
        <v>322</v>
      </c>
      <c r="M35" s="139">
        <v>2</v>
      </c>
    </row>
    <row r="36" spans="9:13" hidden="1">
      <c r="I36" s="137"/>
      <c r="J36" s="137"/>
      <c r="K36" s="137"/>
      <c r="L36" s="138"/>
      <c r="M36" s="139"/>
    </row>
    <row r="37" spans="9:13" hidden="1">
      <c r="I37" s="137">
        <v>1</v>
      </c>
      <c r="J37" s="145" t="s">
        <v>344</v>
      </c>
      <c r="K37" s="137"/>
      <c r="L37" s="138" t="s">
        <v>345</v>
      </c>
      <c r="M37" s="139">
        <v>1</v>
      </c>
    </row>
    <row r="38" spans="9:13" hidden="1">
      <c r="I38" s="137"/>
      <c r="J38" s="137"/>
      <c r="K38" s="137"/>
      <c r="L38" s="138" t="s">
        <v>346</v>
      </c>
      <c r="M38" s="139">
        <v>1</v>
      </c>
    </row>
    <row r="39" spans="9:13" hidden="1">
      <c r="I39" s="137"/>
      <c r="J39" s="137"/>
      <c r="K39" s="137"/>
      <c r="L39" s="138" t="s">
        <v>313</v>
      </c>
      <c r="M39" s="139">
        <v>4</v>
      </c>
    </row>
    <row r="40" spans="9:13" hidden="1">
      <c r="I40" s="137"/>
      <c r="J40" s="137"/>
      <c r="K40" s="137"/>
      <c r="L40" s="138" t="s">
        <v>347</v>
      </c>
      <c r="M40" s="139">
        <v>2</v>
      </c>
    </row>
    <row r="41" spans="9:13" hidden="1">
      <c r="I41" s="137"/>
      <c r="J41" s="137"/>
      <c r="K41" s="137"/>
      <c r="L41" s="138" t="s">
        <v>348</v>
      </c>
      <c r="M41" s="139">
        <v>1</v>
      </c>
    </row>
    <row r="42" spans="9:13" hidden="1">
      <c r="I42" s="137"/>
      <c r="J42" s="137"/>
      <c r="K42" s="137"/>
      <c r="L42" s="138" t="s">
        <v>349</v>
      </c>
      <c r="M42" s="139">
        <v>1</v>
      </c>
    </row>
    <row r="43" spans="9:13" hidden="1">
      <c r="I43" s="137"/>
      <c r="J43" s="137"/>
      <c r="K43" s="137"/>
      <c r="L43" s="138" t="s">
        <v>350</v>
      </c>
      <c r="M43" s="139">
        <v>1</v>
      </c>
    </row>
    <row r="44" spans="9:13" hidden="1">
      <c r="I44" s="137"/>
      <c r="J44" s="137"/>
      <c r="K44" s="137"/>
      <c r="L44" s="138" t="s">
        <v>351</v>
      </c>
      <c r="M44" s="139">
        <v>1</v>
      </c>
    </row>
    <row r="45" spans="9:13" hidden="1">
      <c r="I45" s="137"/>
      <c r="J45" s="137"/>
      <c r="K45" s="137"/>
      <c r="L45" s="138" t="s">
        <v>313</v>
      </c>
      <c r="M45" s="139">
        <v>1</v>
      </c>
    </row>
    <row r="46" spans="9:13" hidden="1">
      <c r="I46" s="137"/>
      <c r="J46" s="137"/>
      <c r="K46" s="137"/>
      <c r="L46" s="138" t="s">
        <v>352</v>
      </c>
      <c r="M46" s="139">
        <v>1</v>
      </c>
    </row>
    <row r="47" spans="9:13" hidden="1">
      <c r="I47" s="137"/>
      <c r="J47" s="137"/>
      <c r="K47" s="137"/>
      <c r="L47" s="138" t="s">
        <v>353</v>
      </c>
      <c r="M47" s="139">
        <v>1</v>
      </c>
    </row>
    <row r="48" spans="9:13" hidden="1">
      <c r="I48" s="137"/>
      <c r="J48" s="137"/>
      <c r="K48" s="137"/>
      <c r="L48" s="138" t="s">
        <v>354</v>
      </c>
      <c r="M48" s="139">
        <v>4</v>
      </c>
    </row>
    <row r="49" spans="9:13" hidden="1">
      <c r="I49" s="137"/>
      <c r="J49" s="137"/>
      <c r="K49" s="137"/>
      <c r="L49" s="138" t="s">
        <v>296</v>
      </c>
      <c r="M49" s="139">
        <v>3</v>
      </c>
    </row>
    <row r="50" spans="9:13" hidden="1">
      <c r="I50" s="138">
        <v>1</v>
      </c>
      <c r="J50" s="145" t="s">
        <v>166</v>
      </c>
      <c r="K50" s="137"/>
      <c r="L50" s="138" t="s">
        <v>362</v>
      </c>
      <c r="M50" s="139">
        <v>4</v>
      </c>
    </row>
    <row r="51" spans="9:13" hidden="1">
      <c r="I51" s="137"/>
      <c r="J51" s="137"/>
      <c r="K51" s="137"/>
      <c r="L51" s="138" t="s">
        <v>358</v>
      </c>
      <c r="M51" s="139">
        <v>4</v>
      </c>
    </row>
    <row r="52" spans="9:13" hidden="1">
      <c r="I52" s="137"/>
      <c r="J52" s="137"/>
      <c r="K52" s="137"/>
      <c r="L52" s="138" t="s">
        <v>355</v>
      </c>
      <c r="M52" s="139">
        <v>4</v>
      </c>
    </row>
    <row r="53" spans="9:13" hidden="1">
      <c r="I53" s="137"/>
      <c r="J53" s="137"/>
      <c r="K53" s="137"/>
      <c r="L53" s="138" t="s">
        <v>356</v>
      </c>
      <c r="M53" s="139">
        <v>2</v>
      </c>
    </row>
    <row r="54" spans="9:13">
      <c r="I54" s="137"/>
      <c r="J54" s="137"/>
      <c r="K54" s="137"/>
      <c r="L54" s="138" t="s">
        <v>357</v>
      </c>
      <c r="M54" s="139">
        <v>4</v>
      </c>
    </row>
    <row r="55" spans="9:13" hidden="1">
      <c r="I55" s="137"/>
      <c r="J55" s="137"/>
      <c r="K55" s="137"/>
      <c r="L55" s="138" t="s">
        <v>359</v>
      </c>
      <c r="M55" s="139">
        <v>4</v>
      </c>
    </row>
    <row r="56" spans="9:13">
      <c r="I56" s="137"/>
      <c r="J56" s="137"/>
      <c r="K56" s="138" t="s">
        <v>360</v>
      </c>
      <c r="L56" s="138" t="s">
        <v>363</v>
      </c>
      <c r="M56" s="141">
        <v>4</v>
      </c>
    </row>
    <row r="57" spans="9:13" hidden="1">
      <c r="I57" s="138"/>
      <c r="J57" s="138"/>
      <c r="K57" s="138"/>
      <c r="L57" s="138" t="s">
        <v>359</v>
      </c>
      <c r="M57" s="141">
        <v>4</v>
      </c>
    </row>
    <row r="58" spans="9:13" hidden="1">
      <c r="I58" s="138"/>
      <c r="J58" s="138"/>
      <c r="K58" s="138"/>
      <c r="L58" s="138" t="s">
        <v>364</v>
      </c>
      <c r="M58" s="141">
        <v>1</v>
      </c>
    </row>
    <row r="59" spans="9:13" hidden="1">
      <c r="I59" s="138"/>
      <c r="J59" s="138"/>
      <c r="K59" s="138"/>
      <c r="L59" s="138" t="s">
        <v>365</v>
      </c>
      <c r="M59" s="141">
        <v>4</v>
      </c>
    </row>
    <row r="60" spans="9:13" hidden="1">
      <c r="I60" s="138"/>
      <c r="J60" s="138"/>
      <c r="K60" s="138"/>
      <c r="L60" s="138" t="s">
        <v>313</v>
      </c>
      <c r="M60" s="141">
        <v>4</v>
      </c>
    </row>
    <row r="61" spans="9:13" hidden="1">
      <c r="I61" s="138"/>
      <c r="J61" s="138"/>
      <c r="K61" s="138" t="s">
        <v>366</v>
      </c>
      <c r="L61" s="138"/>
      <c r="M61" s="141">
        <v>4</v>
      </c>
    </row>
    <row r="62" spans="9:13">
      <c r="I62" s="138"/>
      <c r="J62" s="138"/>
      <c r="K62" s="138"/>
      <c r="L62" s="138" t="s">
        <v>363</v>
      </c>
      <c r="M62" s="141">
        <v>2</v>
      </c>
    </row>
    <row r="63" spans="9:13" hidden="1">
      <c r="I63" s="138"/>
      <c r="J63" s="138"/>
      <c r="K63" s="138"/>
      <c r="L63" s="138" t="s">
        <v>359</v>
      </c>
      <c r="M63" s="141">
        <v>2</v>
      </c>
    </row>
    <row r="64" spans="9:13" hidden="1">
      <c r="I64" s="138"/>
      <c r="J64" s="138"/>
      <c r="K64" s="138"/>
      <c r="L64" s="138" t="s">
        <v>367</v>
      </c>
      <c r="M64" s="141">
        <v>1</v>
      </c>
    </row>
    <row r="65" spans="9:13" hidden="1">
      <c r="I65" s="138"/>
      <c r="J65" s="138"/>
      <c r="K65" s="138"/>
      <c r="L65" s="138" t="s">
        <v>368</v>
      </c>
      <c r="M65" s="141">
        <v>1</v>
      </c>
    </row>
    <row r="66" spans="9:13" hidden="1">
      <c r="I66" s="138"/>
      <c r="J66" s="138"/>
      <c r="K66" s="138" t="s">
        <v>410</v>
      </c>
      <c r="L66" s="138"/>
      <c r="M66" s="141">
        <v>1</v>
      </c>
    </row>
    <row r="67" spans="9:13" hidden="1">
      <c r="I67" s="138"/>
      <c r="J67" s="138"/>
      <c r="K67" s="138" t="s">
        <v>411</v>
      </c>
      <c r="L67" s="138"/>
      <c r="M67" s="141">
        <v>2</v>
      </c>
    </row>
    <row r="68" spans="9:13" hidden="1">
      <c r="I68" s="138"/>
      <c r="J68" s="138"/>
      <c r="K68" s="138" t="s">
        <v>412</v>
      </c>
      <c r="L68" s="138"/>
      <c r="M68" s="141">
        <v>1</v>
      </c>
    </row>
    <row r="69" spans="9:13" hidden="1">
      <c r="I69" s="138"/>
      <c r="J69" s="138"/>
      <c r="K69" s="138" t="s">
        <v>413</v>
      </c>
      <c r="L69" s="138"/>
      <c r="M69" s="141">
        <v>1</v>
      </c>
    </row>
    <row r="70" spans="9:13" hidden="1">
      <c r="I70" s="138"/>
      <c r="J70" s="138"/>
      <c r="K70" s="138" t="s">
        <v>414</v>
      </c>
      <c r="L70" s="138"/>
      <c r="M70" s="141">
        <v>1</v>
      </c>
    </row>
    <row r="71" spans="9:13" hidden="1">
      <c r="I71" s="138">
        <v>1</v>
      </c>
      <c r="J71" s="144" t="s">
        <v>371</v>
      </c>
      <c r="K71" s="138" t="s">
        <v>369</v>
      </c>
      <c r="L71" s="138" t="s">
        <v>370</v>
      </c>
      <c r="M71" s="141">
        <v>2</v>
      </c>
    </row>
    <row r="72" spans="9:13" hidden="1">
      <c r="I72" s="138"/>
      <c r="J72" s="138"/>
      <c r="K72" s="138"/>
      <c r="L72" s="138" t="s">
        <v>372</v>
      </c>
      <c r="M72" s="141">
        <v>1</v>
      </c>
    </row>
    <row r="73" spans="9:13" hidden="1">
      <c r="I73" s="138"/>
      <c r="J73" s="138"/>
      <c r="K73" s="138"/>
      <c r="L73" s="138" t="s">
        <v>369</v>
      </c>
      <c r="M73" s="141">
        <v>1</v>
      </c>
    </row>
    <row r="74" spans="9:13" hidden="1">
      <c r="I74" s="138"/>
      <c r="J74" s="138"/>
      <c r="K74" s="138"/>
      <c r="L74" s="138" t="s">
        <v>388</v>
      </c>
      <c r="M74" s="141">
        <v>1</v>
      </c>
    </row>
    <row r="75" spans="9:13" hidden="1">
      <c r="I75" s="138"/>
      <c r="J75" s="138"/>
      <c r="K75" s="138"/>
      <c r="L75" s="138" t="s">
        <v>373</v>
      </c>
      <c r="M75" s="141">
        <v>2</v>
      </c>
    </row>
    <row r="76" spans="9:13" hidden="1">
      <c r="I76" s="138"/>
      <c r="J76" s="138"/>
      <c r="K76" s="138"/>
      <c r="L76" s="138" t="s">
        <v>374</v>
      </c>
      <c r="M76" s="141">
        <v>1</v>
      </c>
    </row>
    <row r="77" spans="9:13">
      <c r="I77" s="138"/>
      <c r="J77" s="138"/>
      <c r="K77" s="138"/>
      <c r="L77" s="138" t="s">
        <v>363</v>
      </c>
      <c r="M77" s="141">
        <v>2</v>
      </c>
    </row>
    <row r="78" spans="9:13" hidden="1">
      <c r="I78" s="138"/>
      <c r="J78" s="138"/>
      <c r="K78" s="138"/>
      <c r="L78" s="138" t="s">
        <v>375</v>
      </c>
      <c r="M78" s="141">
        <v>2</v>
      </c>
    </row>
    <row r="79" spans="9:13" hidden="1">
      <c r="I79" s="138"/>
      <c r="J79" s="138"/>
      <c r="K79" s="138"/>
      <c r="L79" s="138" t="s">
        <v>376</v>
      </c>
      <c r="M79" s="141">
        <v>1</v>
      </c>
    </row>
    <row r="80" spans="9:13" hidden="1">
      <c r="I80" s="138">
        <v>1</v>
      </c>
      <c r="J80" s="144" t="s">
        <v>377</v>
      </c>
      <c r="K80" s="138" t="s">
        <v>378</v>
      </c>
      <c r="L80" s="138"/>
      <c r="M80" s="141">
        <v>1</v>
      </c>
    </row>
    <row r="81" spans="9:13" hidden="1">
      <c r="I81" s="138"/>
      <c r="J81" s="138"/>
      <c r="K81" s="138" t="s">
        <v>379</v>
      </c>
      <c r="L81" s="138"/>
      <c r="M81" s="141">
        <v>1</v>
      </c>
    </row>
    <row r="82" spans="9:13" hidden="1">
      <c r="I82" s="138"/>
      <c r="J82" s="138"/>
      <c r="K82" s="138" t="s">
        <v>380</v>
      </c>
      <c r="L82" s="138" t="s">
        <v>381</v>
      </c>
      <c r="M82" s="141">
        <v>2</v>
      </c>
    </row>
    <row r="83" spans="9:13" hidden="1">
      <c r="I83" s="138"/>
      <c r="J83" s="138"/>
      <c r="K83" s="138" t="s">
        <v>382</v>
      </c>
      <c r="L83" s="138" t="s">
        <v>386</v>
      </c>
      <c r="M83" s="141">
        <v>2</v>
      </c>
    </row>
    <row r="84" spans="9:13" hidden="1">
      <c r="I84" s="138"/>
      <c r="J84" s="138"/>
      <c r="K84" s="138"/>
      <c r="L84" s="138" t="s">
        <v>383</v>
      </c>
      <c r="M84" s="141">
        <v>2</v>
      </c>
    </row>
    <row r="85" spans="9:13" hidden="1">
      <c r="I85" s="138"/>
      <c r="J85" s="138"/>
      <c r="K85" s="138" t="s">
        <v>384</v>
      </c>
      <c r="L85" s="138" t="s">
        <v>383</v>
      </c>
      <c r="M85" s="141">
        <v>2</v>
      </c>
    </row>
    <row r="86" spans="9:13" hidden="1">
      <c r="I86" s="138"/>
      <c r="J86" s="138"/>
      <c r="K86" s="138"/>
      <c r="L86" s="138" t="s">
        <v>385</v>
      </c>
      <c r="M86" s="141">
        <v>2</v>
      </c>
    </row>
    <row r="87" spans="9:13" hidden="1">
      <c r="I87" s="138"/>
      <c r="J87" s="138"/>
      <c r="K87" s="138"/>
      <c r="L87" s="138" t="s">
        <v>387</v>
      </c>
      <c r="M87" s="141">
        <v>2</v>
      </c>
    </row>
    <row r="88" spans="9:13" hidden="1">
      <c r="I88" s="138"/>
      <c r="J88" s="138"/>
      <c r="K88" s="138"/>
      <c r="L88" s="138" t="s">
        <v>386</v>
      </c>
      <c r="M88" s="141">
        <v>1</v>
      </c>
    </row>
    <row r="89" spans="9:13" hidden="1">
      <c r="I89" s="138">
        <v>1</v>
      </c>
      <c r="J89" s="144" t="s">
        <v>389</v>
      </c>
      <c r="K89" s="138" t="s">
        <v>390</v>
      </c>
      <c r="L89" s="138" t="s">
        <v>391</v>
      </c>
      <c r="M89" s="141">
        <v>2</v>
      </c>
    </row>
    <row r="90" spans="9:13" hidden="1">
      <c r="I90" s="138"/>
      <c r="J90" s="138"/>
      <c r="K90" s="138"/>
      <c r="L90" s="138" t="s">
        <v>392</v>
      </c>
      <c r="M90" s="141">
        <v>1</v>
      </c>
    </row>
    <row r="91" spans="9:13" hidden="1">
      <c r="I91" s="138"/>
      <c r="J91" s="138"/>
      <c r="K91" s="138"/>
      <c r="L91" s="138" t="s">
        <v>393</v>
      </c>
      <c r="M91" s="141">
        <v>1</v>
      </c>
    </row>
    <row r="92" spans="9:13" hidden="1">
      <c r="I92" s="138"/>
      <c r="J92" s="138"/>
      <c r="K92" s="138"/>
      <c r="L92" s="138" t="s">
        <v>394</v>
      </c>
      <c r="M92" s="141">
        <v>2</v>
      </c>
    </row>
    <row r="93" spans="9:13" hidden="1">
      <c r="I93" s="138"/>
      <c r="J93" s="138"/>
      <c r="K93" s="138"/>
      <c r="L93" s="138" t="s">
        <v>383</v>
      </c>
      <c r="M93" s="141">
        <v>4</v>
      </c>
    </row>
    <row r="94" spans="9:13" hidden="1">
      <c r="I94" s="138"/>
      <c r="J94" s="138"/>
      <c r="K94" s="138"/>
      <c r="L94" s="138" t="s">
        <v>395</v>
      </c>
      <c r="M94" s="141">
        <v>2</v>
      </c>
    </row>
    <row r="95" spans="9:13" hidden="1">
      <c r="I95" s="138"/>
      <c r="J95" s="138"/>
      <c r="K95" s="138"/>
      <c r="L95" s="138" t="s">
        <v>396</v>
      </c>
      <c r="M95" s="141">
        <v>4</v>
      </c>
    </row>
    <row r="96" spans="9:13" hidden="1">
      <c r="I96" s="138"/>
      <c r="J96" s="138"/>
      <c r="K96" s="138"/>
      <c r="L96" s="138" t="s">
        <v>397</v>
      </c>
      <c r="M96" s="141">
        <v>1</v>
      </c>
    </row>
    <row r="97" spans="9:13" hidden="1">
      <c r="I97" s="138"/>
      <c r="J97" s="138"/>
      <c r="K97" s="138" t="s">
        <v>398</v>
      </c>
      <c r="L97" s="138" t="s">
        <v>385</v>
      </c>
      <c r="M97" s="141">
        <v>1</v>
      </c>
    </row>
    <row r="98" spans="9:13" hidden="1">
      <c r="I98" s="138"/>
      <c r="J98" s="138"/>
      <c r="K98" s="138" t="s">
        <v>399</v>
      </c>
      <c r="L98" s="138" t="s">
        <v>400</v>
      </c>
      <c r="M98" s="141">
        <v>4</v>
      </c>
    </row>
    <row r="99" spans="9:13" hidden="1">
      <c r="I99" s="138"/>
      <c r="J99" s="138"/>
      <c r="K99" s="138" t="s">
        <v>402</v>
      </c>
      <c r="L99" s="138"/>
      <c r="M99" s="141">
        <v>1</v>
      </c>
    </row>
    <row r="100" spans="9:13" hidden="1">
      <c r="I100" s="138"/>
      <c r="J100" s="138"/>
      <c r="K100" s="138" t="s">
        <v>401</v>
      </c>
      <c r="L100" s="138"/>
      <c r="M100" s="141">
        <v>2</v>
      </c>
    </row>
    <row r="101" spans="9:13" hidden="1">
      <c r="I101" s="138"/>
      <c r="J101" s="138"/>
      <c r="K101" s="138" t="s">
        <v>403</v>
      </c>
      <c r="L101" s="138" t="s">
        <v>404</v>
      </c>
      <c r="M101" s="141">
        <v>1</v>
      </c>
    </row>
    <row r="102" spans="9:13" hidden="1">
      <c r="I102" s="138"/>
      <c r="J102" s="138"/>
      <c r="K102" s="138"/>
      <c r="L102" s="138" t="s">
        <v>396</v>
      </c>
      <c r="M102" s="141">
        <v>10</v>
      </c>
    </row>
    <row r="103" spans="9:13" hidden="1">
      <c r="I103" s="138"/>
      <c r="J103" s="138"/>
      <c r="K103" s="138"/>
      <c r="L103" s="138" t="s">
        <v>405</v>
      </c>
      <c r="M103" s="141">
        <v>3</v>
      </c>
    </row>
    <row r="104" spans="9:13" hidden="1">
      <c r="I104" s="138"/>
      <c r="J104" s="138"/>
      <c r="K104" s="138"/>
      <c r="L104" s="138" t="s">
        <v>387</v>
      </c>
      <c r="M104" s="141">
        <v>4</v>
      </c>
    </row>
    <row r="105" spans="9:13" hidden="1">
      <c r="I105" s="138"/>
      <c r="J105" s="138"/>
      <c r="K105" s="138"/>
      <c r="L105" s="138" t="s">
        <v>406</v>
      </c>
      <c r="M105" s="141">
        <v>4</v>
      </c>
    </row>
    <row r="106" spans="9:13" hidden="1">
      <c r="I106" s="138"/>
      <c r="J106" s="138"/>
      <c r="K106" s="138"/>
      <c r="L106" s="138" t="s">
        <v>407</v>
      </c>
      <c r="M106" s="141">
        <v>1</v>
      </c>
    </row>
    <row r="107" spans="9:13" hidden="1">
      <c r="I107" s="138"/>
      <c r="J107" s="138"/>
      <c r="K107" s="138"/>
      <c r="L107" s="138" t="s">
        <v>408</v>
      </c>
      <c r="M107" s="141">
        <v>1</v>
      </c>
    </row>
    <row r="108" spans="9:13" hidden="1">
      <c r="I108" s="138"/>
      <c r="J108" s="138"/>
      <c r="K108" s="138"/>
      <c r="L108" s="138" t="s">
        <v>409</v>
      </c>
      <c r="M108" s="141">
        <v>4</v>
      </c>
    </row>
    <row r="109" spans="9:13" hidden="1">
      <c r="I109" s="138">
        <v>1</v>
      </c>
      <c r="J109" s="144" t="s">
        <v>435</v>
      </c>
      <c r="K109" s="138" t="s">
        <v>417</v>
      </c>
      <c r="L109" s="138" t="s">
        <v>418</v>
      </c>
      <c r="M109" s="141">
        <v>1</v>
      </c>
    </row>
    <row r="110" spans="9:13" hidden="1">
      <c r="I110" s="138"/>
      <c r="J110" s="138"/>
      <c r="K110" s="138"/>
      <c r="L110" s="138" t="s">
        <v>419</v>
      </c>
      <c r="M110" s="141">
        <v>1</v>
      </c>
    </row>
    <row r="111" spans="9:13" hidden="1">
      <c r="I111" s="138"/>
      <c r="J111" s="138"/>
      <c r="K111" s="138"/>
      <c r="L111" s="138" t="s">
        <v>386</v>
      </c>
      <c r="M111" s="141">
        <v>1</v>
      </c>
    </row>
    <row r="112" spans="9:13" hidden="1">
      <c r="I112" s="138"/>
      <c r="J112" s="138"/>
      <c r="K112" s="138"/>
      <c r="L112" s="138" t="s">
        <v>420</v>
      </c>
      <c r="M112" s="141">
        <v>2</v>
      </c>
    </row>
    <row r="113" spans="9:13" hidden="1">
      <c r="I113" s="138"/>
      <c r="J113" s="138"/>
      <c r="K113" s="138"/>
      <c r="L113" s="138" t="s">
        <v>383</v>
      </c>
      <c r="M113" s="141">
        <v>1</v>
      </c>
    </row>
    <row r="114" spans="9:13">
      <c r="I114" s="138"/>
      <c r="J114" s="138"/>
      <c r="K114" s="138"/>
      <c r="L114" s="138" t="s">
        <v>363</v>
      </c>
      <c r="M114" s="141">
        <v>3</v>
      </c>
    </row>
    <row r="115" spans="9:13" hidden="1">
      <c r="I115" s="138"/>
      <c r="J115" s="138"/>
      <c r="K115" s="138"/>
      <c r="L115" s="138" t="s">
        <v>375</v>
      </c>
      <c r="M115" s="141">
        <v>3</v>
      </c>
    </row>
    <row r="116" spans="9:13" hidden="1">
      <c r="I116" s="138"/>
      <c r="J116" s="138"/>
      <c r="K116" s="138"/>
      <c r="L116" s="138" t="s">
        <v>349</v>
      </c>
      <c r="M116" s="141">
        <v>1</v>
      </c>
    </row>
    <row r="117" spans="9:13" hidden="1">
      <c r="I117" s="138"/>
      <c r="J117" s="138"/>
      <c r="K117" s="138"/>
      <c r="L117" s="138" t="s">
        <v>425</v>
      </c>
      <c r="M117" s="141">
        <v>1</v>
      </c>
    </row>
    <row r="118" spans="9:13" hidden="1">
      <c r="I118" s="138"/>
      <c r="J118" s="138"/>
      <c r="K118" s="138"/>
      <c r="L118" s="138"/>
      <c r="M118" s="141"/>
    </row>
    <row r="119" spans="9:13" hidden="1">
      <c r="I119" s="138"/>
      <c r="J119" s="138"/>
      <c r="K119" s="138" t="s">
        <v>421</v>
      </c>
      <c r="L119" s="138" t="s">
        <v>422</v>
      </c>
      <c r="M119" s="141">
        <v>1</v>
      </c>
    </row>
    <row r="120" spans="9:13" hidden="1">
      <c r="I120" s="138"/>
      <c r="J120" s="138"/>
      <c r="K120" s="138"/>
      <c r="L120" s="138" t="s">
        <v>394</v>
      </c>
      <c r="M120" s="141">
        <v>1</v>
      </c>
    </row>
    <row r="121" spans="9:13" hidden="1">
      <c r="I121" s="138"/>
      <c r="J121" s="138"/>
      <c r="K121" s="138"/>
      <c r="L121" s="138" t="s">
        <v>419</v>
      </c>
      <c r="M121" s="141">
        <v>1</v>
      </c>
    </row>
    <row r="122" spans="9:13" hidden="1">
      <c r="I122" s="138"/>
      <c r="J122" s="138"/>
      <c r="K122" s="138"/>
      <c r="L122" s="138" t="s">
        <v>383</v>
      </c>
      <c r="M122" s="141">
        <v>2</v>
      </c>
    </row>
    <row r="123" spans="9:13">
      <c r="I123" s="138"/>
      <c r="J123" s="138"/>
      <c r="K123" s="138"/>
      <c r="L123" s="138" t="s">
        <v>363</v>
      </c>
      <c r="M123" s="141">
        <v>2</v>
      </c>
    </row>
    <row r="124" spans="9:13" hidden="1">
      <c r="I124" s="138"/>
      <c r="J124" s="138"/>
      <c r="K124" s="138"/>
      <c r="L124" s="138" t="s">
        <v>375</v>
      </c>
      <c r="M124" s="141">
        <v>2</v>
      </c>
    </row>
    <row r="125" spans="9:13" hidden="1">
      <c r="I125" s="138"/>
      <c r="J125" s="138"/>
      <c r="K125" s="138"/>
      <c r="L125" s="138" t="s">
        <v>423</v>
      </c>
      <c r="M125" s="141">
        <v>4</v>
      </c>
    </row>
    <row r="126" spans="9:13" hidden="1">
      <c r="I126" s="138"/>
      <c r="J126" s="138"/>
      <c r="K126" s="138"/>
      <c r="L126" s="138" t="s">
        <v>424</v>
      </c>
      <c r="M126" s="141">
        <v>2</v>
      </c>
    </row>
    <row r="127" spans="9:13" hidden="1">
      <c r="I127" s="138"/>
      <c r="J127" s="138"/>
      <c r="K127" s="138"/>
      <c r="L127" s="138" t="s">
        <v>426</v>
      </c>
      <c r="M127" s="141">
        <v>1</v>
      </c>
    </row>
    <row r="128" spans="9:13" hidden="1">
      <c r="I128" s="138"/>
      <c r="J128" s="144"/>
      <c r="K128" s="138"/>
      <c r="L128" s="138" t="s">
        <v>427</v>
      </c>
      <c r="M128" s="141">
        <v>1</v>
      </c>
    </row>
    <row r="129" spans="9:13" hidden="1">
      <c r="I129" s="138">
        <v>1</v>
      </c>
      <c r="J129" s="144" t="s">
        <v>436</v>
      </c>
      <c r="K129" s="138" t="s">
        <v>417</v>
      </c>
      <c r="L129" s="138" t="s">
        <v>418</v>
      </c>
      <c r="M129" s="141">
        <v>1</v>
      </c>
    </row>
    <row r="130" spans="9:13" hidden="1">
      <c r="I130" s="138"/>
      <c r="J130" s="138"/>
      <c r="K130" s="138"/>
      <c r="L130" s="138" t="s">
        <v>419</v>
      </c>
      <c r="M130" s="141">
        <v>1</v>
      </c>
    </row>
    <row r="131" spans="9:13" hidden="1">
      <c r="I131" s="138"/>
      <c r="J131" s="138"/>
      <c r="K131" s="138"/>
      <c r="L131" s="138" t="s">
        <v>386</v>
      </c>
      <c r="M131" s="141">
        <v>1</v>
      </c>
    </row>
    <row r="132" spans="9:13" hidden="1">
      <c r="I132" s="138"/>
      <c r="J132" s="138"/>
      <c r="K132" s="138"/>
      <c r="L132" s="138" t="s">
        <v>420</v>
      </c>
      <c r="M132" s="141">
        <v>2</v>
      </c>
    </row>
    <row r="133" spans="9:13" hidden="1">
      <c r="I133" s="138"/>
      <c r="J133" s="138"/>
      <c r="K133" s="138"/>
      <c r="L133" s="138" t="s">
        <v>383</v>
      </c>
      <c r="M133" s="141">
        <v>1</v>
      </c>
    </row>
    <row r="134" spans="9:13">
      <c r="I134" s="138"/>
      <c r="J134" s="138"/>
      <c r="K134" s="138"/>
      <c r="L134" s="138" t="s">
        <v>363</v>
      </c>
      <c r="M134" s="141">
        <v>3</v>
      </c>
    </row>
    <row r="135" spans="9:13" hidden="1">
      <c r="I135" s="138"/>
      <c r="J135" s="138"/>
      <c r="K135" s="138"/>
      <c r="L135" s="138" t="s">
        <v>375</v>
      </c>
      <c r="M135" s="141">
        <v>3</v>
      </c>
    </row>
    <row r="136" spans="9:13" hidden="1">
      <c r="I136" s="138"/>
      <c r="J136" s="138"/>
      <c r="K136" s="138"/>
      <c r="L136" s="138" t="s">
        <v>349</v>
      </c>
      <c r="M136" s="141">
        <v>1</v>
      </c>
    </row>
    <row r="137" spans="9:13" hidden="1">
      <c r="I137" s="138"/>
      <c r="J137" s="138"/>
      <c r="K137" s="138"/>
      <c r="L137" s="138" t="s">
        <v>425</v>
      </c>
      <c r="M137" s="141">
        <v>1</v>
      </c>
    </row>
    <row r="138" spans="9:13" hidden="1">
      <c r="I138" s="138"/>
      <c r="J138" s="138"/>
      <c r="K138" s="138"/>
      <c r="L138" s="138"/>
      <c r="M138" s="141"/>
    </row>
    <row r="139" spans="9:13" hidden="1">
      <c r="I139" s="138"/>
      <c r="J139" s="138"/>
      <c r="K139" s="138" t="s">
        <v>421</v>
      </c>
      <c r="L139" s="138" t="s">
        <v>422</v>
      </c>
      <c r="M139" s="141">
        <v>1</v>
      </c>
    </row>
    <row r="140" spans="9:13" hidden="1">
      <c r="I140" s="138"/>
      <c r="J140" s="138"/>
      <c r="K140" s="138"/>
      <c r="L140" s="138" t="s">
        <v>394</v>
      </c>
      <c r="M140" s="141">
        <v>1</v>
      </c>
    </row>
    <row r="141" spans="9:13" hidden="1">
      <c r="I141" s="138"/>
      <c r="J141" s="138"/>
      <c r="K141" s="138"/>
      <c r="L141" s="138" t="s">
        <v>419</v>
      </c>
      <c r="M141" s="141">
        <v>1</v>
      </c>
    </row>
    <row r="142" spans="9:13" hidden="1">
      <c r="I142" s="138"/>
      <c r="J142" s="138"/>
      <c r="K142" s="138"/>
      <c r="L142" s="138" t="s">
        <v>383</v>
      </c>
      <c r="M142" s="141">
        <v>2</v>
      </c>
    </row>
    <row r="143" spans="9:13">
      <c r="I143" s="138"/>
      <c r="J143" s="138"/>
      <c r="K143" s="138"/>
      <c r="L143" s="138" t="s">
        <v>363</v>
      </c>
      <c r="M143" s="141">
        <v>2</v>
      </c>
    </row>
    <row r="144" spans="9:13" hidden="1">
      <c r="I144" s="138"/>
      <c r="J144" s="138"/>
      <c r="K144" s="138"/>
      <c r="L144" s="138" t="s">
        <v>375</v>
      </c>
      <c r="M144" s="141">
        <v>2</v>
      </c>
    </row>
    <row r="145" spans="9:13" hidden="1">
      <c r="I145" s="138"/>
      <c r="J145" s="138"/>
      <c r="K145" s="138"/>
      <c r="L145" s="138" t="s">
        <v>423</v>
      </c>
      <c r="M145" s="141">
        <v>4</v>
      </c>
    </row>
    <row r="146" spans="9:13" hidden="1">
      <c r="I146" s="138"/>
      <c r="J146" s="138"/>
      <c r="K146" s="138"/>
      <c r="L146" s="138" t="s">
        <v>424</v>
      </c>
      <c r="M146" s="141">
        <v>2</v>
      </c>
    </row>
    <row r="147" spans="9:13" hidden="1">
      <c r="I147" s="138"/>
      <c r="J147" s="138"/>
      <c r="K147" s="138"/>
      <c r="L147" s="138" t="s">
        <v>426</v>
      </c>
      <c r="M147" s="141">
        <v>1</v>
      </c>
    </row>
    <row r="148" spans="9:13" hidden="1">
      <c r="I148" s="138"/>
      <c r="J148" s="138"/>
      <c r="K148" s="138"/>
      <c r="L148" s="138" t="s">
        <v>427</v>
      </c>
      <c r="M148" s="141">
        <v>1</v>
      </c>
    </row>
    <row r="149" spans="9:13" hidden="1">
      <c r="I149" s="138">
        <v>1</v>
      </c>
      <c r="J149" s="144" t="s">
        <v>428</v>
      </c>
      <c r="K149" s="138" t="s">
        <v>432</v>
      </c>
      <c r="L149" s="138"/>
      <c r="M149" s="141">
        <v>1</v>
      </c>
    </row>
    <row r="150" spans="9:13" hidden="1">
      <c r="I150" s="138"/>
      <c r="J150" s="138"/>
      <c r="K150" s="138" t="s">
        <v>429</v>
      </c>
      <c r="L150" s="138"/>
      <c r="M150" s="141">
        <v>1</v>
      </c>
    </row>
    <row r="151" spans="9:13" hidden="1">
      <c r="I151" s="138"/>
      <c r="J151" s="138"/>
      <c r="K151" s="138" t="s">
        <v>430</v>
      </c>
      <c r="L151" s="138"/>
      <c r="M151" s="141">
        <v>1</v>
      </c>
    </row>
    <row r="152" spans="9:13" hidden="1">
      <c r="I152" s="138"/>
      <c r="J152" s="138"/>
      <c r="K152" s="138" t="s">
        <v>431</v>
      </c>
      <c r="L152" s="138"/>
      <c r="M152" s="141">
        <v>1</v>
      </c>
    </row>
    <row r="153" spans="9:13" hidden="1">
      <c r="I153" s="138"/>
      <c r="J153" s="138"/>
      <c r="K153" s="142" t="s">
        <v>420</v>
      </c>
      <c r="L153" s="138"/>
      <c r="M153" s="141">
        <v>1</v>
      </c>
    </row>
    <row r="154" spans="9:13" hidden="1">
      <c r="I154" s="138"/>
      <c r="J154" s="138"/>
      <c r="K154" s="138" t="s">
        <v>322</v>
      </c>
      <c r="L154" s="138"/>
      <c r="M154" s="141">
        <v>1</v>
      </c>
    </row>
    <row r="155" spans="9:13" hidden="1">
      <c r="I155" s="138"/>
      <c r="J155" s="138"/>
      <c r="K155" s="138" t="s">
        <v>420</v>
      </c>
      <c r="L155" s="138"/>
      <c r="M155" s="141">
        <v>1</v>
      </c>
    </row>
    <row r="156" spans="9:13" hidden="1">
      <c r="I156" s="138">
        <v>1</v>
      </c>
      <c r="J156" s="144" t="s">
        <v>433</v>
      </c>
      <c r="K156" s="138" t="s">
        <v>434</v>
      </c>
      <c r="L156" s="138"/>
      <c r="M156" s="141">
        <v>2</v>
      </c>
    </row>
  </sheetData>
  <phoneticPr fontId="7" type="noConversion"/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B20" sqref="B20"/>
    </sheetView>
  </sheetViews>
  <sheetFormatPr defaultColWidth="10.81640625" defaultRowHeight="14.5"/>
  <cols>
    <col min="1" max="1" width="21.453125" customWidth="1"/>
  </cols>
  <sheetData>
    <row r="2" spans="1:6">
      <c r="A2" t="s">
        <v>108</v>
      </c>
      <c r="C2" t="s">
        <v>3</v>
      </c>
      <c r="D2" s="41" t="s">
        <v>15</v>
      </c>
    </row>
    <row r="3" spans="1:6">
      <c r="A3" s="3" t="s">
        <v>6</v>
      </c>
      <c r="B3" s="3"/>
    </row>
    <row r="4" spans="1:6">
      <c r="A4" s="2" t="s">
        <v>5</v>
      </c>
      <c r="B4" s="2" t="s">
        <v>29</v>
      </c>
      <c r="C4" s="2" t="s">
        <v>28</v>
      </c>
      <c r="D4" s="2" t="s">
        <v>27</v>
      </c>
      <c r="E4" s="2" t="s">
        <v>2</v>
      </c>
      <c r="F4" s="2" t="s">
        <v>26</v>
      </c>
    </row>
    <row r="5" spans="1:6">
      <c r="A5" t="s">
        <v>7</v>
      </c>
      <c r="B5" t="s">
        <v>8</v>
      </c>
      <c r="C5">
        <v>500</v>
      </c>
      <c r="D5">
        <v>4</v>
      </c>
      <c r="E5">
        <f>C5*D5*0.00567</f>
        <v>11.34</v>
      </c>
    </row>
    <row r="6" spans="1:6">
      <c r="B6" t="s">
        <v>9</v>
      </c>
      <c r="C6">
        <v>340</v>
      </c>
      <c r="D6">
        <v>6</v>
      </c>
      <c r="E6">
        <f t="shared" ref="E6:E7" si="0">C6*D6*0.00567</f>
        <v>11.566799999999999</v>
      </c>
    </row>
    <row r="7" spans="1:6">
      <c r="B7" t="s">
        <v>10</v>
      </c>
      <c r="C7">
        <v>340</v>
      </c>
      <c r="D7">
        <v>4</v>
      </c>
      <c r="E7">
        <f t="shared" si="0"/>
        <v>7.7111999999999998</v>
      </c>
      <c r="F7">
        <f>SUM(E5:E7)</f>
        <v>30.617999999999995</v>
      </c>
    </row>
    <row r="8" spans="1:6">
      <c r="A8" t="s">
        <v>11</v>
      </c>
      <c r="B8" t="s">
        <v>12</v>
      </c>
      <c r="C8">
        <v>335</v>
      </c>
      <c r="D8">
        <v>2</v>
      </c>
      <c r="E8">
        <f>C8*D8*0.0038</f>
        <v>2.5459999999999998</v>
      </c>
    </row>
    <row r="9" spans="1:6">
      <c r="B9" t="s">
        <v>13</v>
      </c>
      <c r="C9">
        <v>140</v>
      </c>
      <c r="D9">
        <v>2</v>
      </c>
      <c r="E9">
        <f>C9*D9*0.0038</f>
        <v>1.0640000000000001</v>
      </c>
      <c r="F9">
        <f>SUM(E8:E9)</f>
        <v>3.61</v>
      </c>
    </row>
    <row r="10" spans="1:6">
      <c r="A10" t="s">
        <v>97</v>
      </c>
      <c r="B10" t="s">
        <v>95</v>
      </c>
      <c r="C10">
        <v>370</v>
      </c>
      <c r="D10">
        <v>2</v>
      </c>
      <c r="E10">
        <f>(4.76/1000)*C10*D10</f>
        <v>3.5223999999999998</v>
      </c>
    </row>
    <row r="11" spans="1:6">
      <c r="A11" t="s">
        <v>98</v>
      </c>
      <c r="B11" t="s">
        <v>72</v>
      </c>
      <c r="C11">
        <v>340</v>
      </c>
      <c r="D11">
        <v>2</v>
      </c>
      <c r="E11">
        <f>C11*D11*5.06/1000</f>
        <v>3.4407999999999999</v>
      </c>
    </row>
    <row r="12" spans="1:6">
      <c r="A12" t="s">
        <v>99</v>
      </c>
      <c r="B12" t="s">
        <v>96</v>
      </c>
      <c r="C12">
        <v>330</v>
      </c>
      <c r="D12">
        <v>4</v>
      </c>
      <c r="E12">
        <f>C12*D12*0.006</f>
        <v>7.92</v>
      </c>
      <c r="F12">
        <f>SUM(E10:E12)</f>
        <v>14.883199999999999</v>
      </c>
    </row>
    <row r="13" spans="1:6">
      <c r="E13" s="40" t="s">
        <v>14</v>
      </c>
      <c r="F13" s="40">
        <f>SUM(F5:F12)</f>
        <v>49.111199999999997</v>
      </c>
    </row>
    <row r="16" spans="1:6">
      <c r="A16" s="2" t="s">
        <v>467</v>
      </c>
      <c r="B16" s="2" t="s">
        <v>27</v>
      </c>
      <c r="C16" s="2" t="s">
        <v>91</v>
      </c>
      <c r="D16" s="2" t="s">
        <v>2</v>
      </c>
    </row>
    <row r="17" spans="1:4">
      <c r="A17" t="s">
        <v>464</v>
      </c>
      <c r="B17">
        <v>12</v>
      </c>
      <c r="C17">
        <f>0.6054*1.19</f>
        <v>0.72042600000000001</v>
      </c>
      <c r="D17">
        <f>B17*C17</f>
        <v>8.645112000000001</v>
      </c>
    </row>
    <row r="18" spans="1:4">
      <c r="A18" t="s">
        <v>465</v>
      </c>
      <c r="B18">
        <v>20</v>
      </c>
      <c r="C18">
        <f>0.895*1.19</f>
        <v>1.0650500000000001</v>
      </c>
      <c r="D18">
        <f>B18*C18</f>
        <v>21.301000000000002</v>
      </c>
    </row>
    <row r="19" spans="1:4">
      <c r="D19" s="2">
        <f>SUM(D17:D18)</f>
        <v>29.946112000000003</v>
      </c>
    </row>
    <row r="20" spans="1:4">
      <c r="A20" t="s">
        <v>358</v>
      </c>
      <c r="B20">
        <v>12</v>
      </c>
      <c r="C20">
        <f>0.2843*1.19</f>
        <v>0.33831699999999998</v>
      </c>
      <c r="D20">
        <f>B20*C20</f>
        <v>4.0598039999999997</v>
      </c>
    </row>
    <row r="21" spans="1:4">
      <c r="A21" t="s">
        <v>466</v>
      </c>
      <c r="B21">
        <v>20</v>
      </c>
      <c r="C21">
        <f>0.516*1.19</f>
        <v>0.61404000000000003</v>
      </c>
      <c r="D21">
        <f>B21*C21</f>
        <v>12.280800000000001</v>
      </c>
    </row>
    <row r="22" spans="1:4">
      <c r="D22" s="2">
        <f>SUM(D20:D21)</f>
        <v>16.340603999999999</v>
      </c>
    </row>
    <row r="28" spans="1:4">
      <c r="A28" s="149" t="s">
        <v>468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FDF03-F26D-402F-8DF9-457CE497271F}">
  <dimension ref="A2:D18"/>
  <sheetViews>
    <sheetView workbookViewId="0">
      <selection activeCell="A20" sqref="A20"/>
    </sheetView>
  </sheetViews>
  <sheetFormatPr defaultColWidth="8.81640625" defaultRowHeight="14.5"/>
  <cols>
    <col min="1" max="1" width="23.08984375" customWidth="1"/>
  </cols>
  <sheetData>
    <row r="2" spans="1:4">
      <c r="A2" s="148" t="s">
        <v>455</v>
      </c>
    </row>
    <row r="3" spans="1:4">
      <c r="A3" s="2" t="s">
        <v>90</v>
      </c>
      <c r="B3" s="2" t="s">
        <v>27</v>
      </c>
      <c r="C3" s="2" t="s">
        <v>91</v>
      </c>
      <c r="D3" s="2" t="s">
        <v>2</v>
      </c>
    </row>
    <row r="4" spans="1:4" ht="34.5" customHeight="1">
      <c r="A4" s="42" t="s">
        <v>469</v>
      </c>
      <c r="B4">
        <v>1</v>
      </c>
      <c r="C4">
        <v>15</v>
      </c>
      <c r="D4">
        <f>B4*C4</f>
        <v>15</v>
      </c>
    </row>
    <row r="5" spans="1:4">
      <c r="A5" t="s">
        <v>92</v>
      </c>
      <c r="B5">
        <v>1</v>
      </c>
      <c r="C5">
        <v>0.5</v>
      </c>
      <c r="D5">
        <f t="shared" ref="D5:D9" si="0">B5*C5</f>
        <v>0.5</v>
      </c>
    </row>
    <row r="6" spans="1:4">
      <c r="A6" t="s">
        <v>93</v>
      </c>
      <c r="B6">
        <v>1</v>
      </c>
      <c r="C6">
        <v>0.5</v>
      </c>
      <c r="D6">
        <f t="shared" si="0"/>
        <v>0.5</v>
      </c>
    </row>
    <row r="7" spans="1:4">
      <c r="A7" t="s">
        <v>94</v>
      </c>
      <c r="B7">
        <v>1</v>
      </c>
      <c r="C7">
        <v>24</v>
      </c>
      <c r="D7">
        <f t="shared" si="0"/>
        <v>24</v>
      </c>
    </row>
    <row r="8" spans="1:4">
      <c r="A8" t="s">
        <v>116</v>
      </c>
      <c r="B8">
        <v>1</v>
      </c>
      <c r="C8">
        <v>33</v>
      </c>
      <c r="D8">
        <f t="shared" si="0"/>
        <v>33</v>
      </c>
    </row>
    <row r="9" spans="1:4">
      <c r="A9" s="3" t="s">
        <v>459</v>
      </c>
      <c r="B9" s="3">
        <v>4</v>
      </c>
      <c r="C9" s="3">
        <v>1.5</v>
      </c>
      <c r="D9" s="3">
        <f t="shared" si="0"/>
        <v>6</v>
      </c>
    </row>
    <row r="10" spans="1:4">
      <c r="D10" s="2">
        <f ca="1">SUM(D4:D10)</f>
        <v>0</v>
      </c>
    </row>
    <row r="12" spans="1:4">
      <c r="A12" s="148" t="s">
        <v>456</v>
      </c>
    </row>
    <row r="13" spans="1:4">
      <c r="A13" s="2" t="s">
        <v>90</v>
      </c>
      <c r="B13" s="2" t="s">
        <v>27</v>
      </c>
      <c r="C13" s="2" t="s">
        <v>91</v>
      </c>
      <c r="D13" s="2" t="s">
        <v>2</v>
      </c>
    </row>
    <row r="14" spans="1:4">
      <c r="A14" t="s">
        <v>457</v>
      </c>
      <c r="B14">
        <v>1</v>
      </c>
      <c r="C14">
        <v>1.5</v>
      </c>
      <c r="D14">
        <v>1.5</v>
      </c>
    </row>
    <row r="15" spans="1:4">
      <c r="A15" t="s">
        <v>565</v>
      </c>
      <c r="B15">
        <v>1</v>
      </c>
      <c r="C15">
        <v>1</v>
      </c>
      <c r="D15">
        <v>2</v>
      </c>
    </row>
    <row r="16" spans="1:4">
      <c r="A16" t="s">
        <v>458</v>
      </c>
      <c r="B16">
        <v>1</v>
      </c>
      <c r="C16">
        <v>11</v>
      </c>
      <c r="D16">
        <v>11</v>
      </c>
    </row>
    <row r="17" spans="1:4">
      <c r="A17" s="3" t="s">
        <v>459</v>
      </c>
      <c r="B17" s="3">
        <v>4</v>
      </c>
      <c r="C17" s="3">
        <v>1.5</v>
      </c>
      <c r="D17" s="3">
        <f t="shared" ref="D17" si="1">B17*C17</f>
        <v>6</v>
      </c>
    </row>
    <row r="18" spans="1:4">
      <c r="D18" s="2">
        <f>SUM(D14:D17)</f>
        <v>20.5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A0BB5-93B3-41E3-975A-3BC13E9B0AF3}">
  <dimension ref="B1:Y50"/>
  <sheetViews>
    <sheetView showGridLines="0" topLeftCell="A14" zoomScale="85" zoomScaleNormal="85" workbookViewId="0">
      <selection activeCell="M31" sqref="M31"/>
    </sheetView>
  </sheetViews>
  <sheetFormatPr defaultColWidth="9.1796875" defaultRowHeight="14.5"/>
  <cols>
    <col min="1" max="1" width="2.81640625" customWidth="1"/>
    <col min="2" max="2" width="21.81640625" style="48" customWidth="1"/>
    <col min="3" max="3" width="12.453125" style="48" customWidth="1"/>
    <col min="4" max="4" width="9.1796875" style="48"/>
    <col min="5" max="5" width="4" style="48" customWidth="1"/>
    <col min="6" max="6" width="24.1796875" style="49" customWidth="1"/>
    <col min="7" max="7" width="9.1796875" style="48"/>
    <col min="8" max="8" width="3.1796875" style="48" customWidth="1"/>
    <col min="9" max="10" width="12.81640625" style="48" customWidth="1"/>
  </cols>
  <sheetData>
    <row r="1" spans="2:25">
      <c r="B1" s="47"/>
    </row>
    <row r="2" spans="2:25" ht="16">
      <c r="B2" s="50" t="s">
        <v>120</v>
      </c>
    </row>
    <row r="4" spans="2:25">
      <c r="B4" s="51" t="s">
        <v>121</v>
      </c>
      <c r="C4" s="52" t="s">
        <v>122</v>
      </c>
      <c r="D4" s="53" t="s">
        <v>123</v>
      </c>
      <c r="F4" s="54" t="s">
        <v>124</v>
      </c>
      <c r="G4" s="55"/>
    </row>
    <row r="5" spans="2:25">
      <c r="B5" s="56" t="s">
        <v>125</v>
      </c>
      <c r="C5" s="57">
        <v>30</v>
      </c>
      <c r="D5" s="58" t="s">
        <v>126</v>
      </c>
    </row>
    <row r="6" spans="2:25">
      <c r="B6" s="56" t="s">
        <v>127</v>
      </c>
      <c r="C6" s="57">
        <f>ROUNDUP(G36/10,0)*10</f>
        <v>400</v>
      </c>
      <c r="D6" s="58" t="s">
        <v>126</v>
      </c>
      <c r="F6" s="59" t="s">
        <v>128</v>
      </c>
    </row>
    <row r="7" spans="2:25">
      <c r="B7" s="56" t="s">
        <v>129</v>
      </c>
      <c r="C7" s="57">
        <f>ROUNDUP(G37/10,0)*10</f>
        <v>400</v>
      </c>
      <c r="D7" s="58" t="s">
        <v>126</v>
      </c>
      <c r="F7" s="49" t="s">
        <v>130</v>
      </c>
      <c r="G7" s="48">
        <f>Configuration!D15</f>
        <v>220</v>
      </c>
    </row>
    <row r="8" spans="2:25">
      <c r="B8" s="56" t="s">
        <v>131</v>
      </c>
      <c r="C8" s="57">
        <f>ROUNDUP(G38/10,0)*10</f>
        <v>430</v>
      </c>
      <c r="D8" s="58" t="s">
        <v>126</v>
      </c>
      <c r="F8" s="49" t="s">
        <v>132</v>
      </c>
      <c r="G8" s="48">
        <v>14.5</v>
      </c>
      <c r="H8" s="60" t="s">
        <v>133</v>
      </c>
    </row>
    <row r="9" spans="2:25">
      <c r="B9" s="56" t="s">
        <v>134</v>
      </c>
      <c r="C9" s="57">
        <f>C24</f>
        <v>214</v>
      </c>
      <c r="D9" s="58" t="s">
        <v>126</v>
      </c>
      <c r="F9" s="49" t="s">
        <v>135</v>
      </c>
      <c r="G9" s="48">
        <v>55</v>
      </c>
    </row>
    <row r="10" spans="2:25">
      <c r="B10" s="56" t="s">
        <v>136</v>
      </c>
      <c r="C10" s="57">
        <f>C25</f>
        <v>214</v>
      </c>
      <c r="D10" s="58" t="s">
        <v>126</v>
      </c>
      <c r="F10" s="49" t="s">
        <v>137</v>
      </c>
      <c r="G10" s="48">
        <v>45.75</v>
      </c>
      <c r="H10" s="60" t="s">
        <v>138</v>
      </c>
    </row>
    <row r="11" spans="2:25">
      <c r="B11" s="56" t="s">
        <v>139</v>
      </c>
      <c r="C11" s="57">
        <f>C26</f>
        <v>210</v>
      </c>
      <c r="D11" s="58" t="s">
        <v>126</v>
      </c>
      <c r="F11" s="49" t="s">
        <v>140</v>
      </c>
      <c r="G11" s="48">
        <v>45</v>
      </c>
      <c r="H11" s="60"/>
    </row>
    <row r="12" spans="2:25">
      <c r="B12" s="56" t="s">
        <v>141</v>
      </c>
      <c r="C12" s="57">
        <f>C27</f>
        <v>210</v>
      </c>
      <c r="D12" s="58" t="s">
        <v>126</v>
      </c>
      <c r="F12" s="49" t="s">
        <v>142</v>
      </c>
      <c r="G12" s="48">
        <f>C6-C5</f>
        <v>370</v>
      </c>
      <c r="H12" s="60"/>
    </row>
    <row r="13" spans="2:25">
      <c r="B13" s="61" t="s">
        <v>143</v>
      </c>
      <c r="C13" s="57">
        <v>20</v>
      </c>
      <c r="D13" s="58" t="s">
        <v>126</v>
      </c>
      <c r="F13" s="49" t="s">
        <v>144</v>
      </c>
      <c r="G13" s="48">
        <v>30</v>
      </c>
      <c r="I13" s="48" t="s">
        <v>145</v>
      </c>
    </row>
    <row r="14" spans="2:25">
      <c r="B14" s="56" t="s">
        <v>146</v>
      </c>
      <c r="C14" s="57">
        <f>MAX(180,IF(Configuration!$J$15="Double",Sheet1!$C$6-2*Sheet1!$C$5-5,$C$26-2*$C$28))</f>
        <v>335</v>
      </c>
      <c r="D14" s="58" t="s">
        <v>126</v>
      </c>
      <c r="Y14">
        <f>195+20+20+45+45</f>
        <v>325</v>
      </c>
    </row>
    <row r="15" spans="2:25">
      <c r="B15" s="56" t="s">
        <v>147</v>
      </c>
      <c r="C15" s="57">
        <f>MAX(180,IF(Configuration!J15="Double",Sheet1!$C$27-2*Sheet1!$C$28,(ROUNDUP(($G$31-2.5+$G$8+$G$10+$G$17+$G$30/2+7.5)/10,0)*10)))</f>
        <v>180</v>
      </c>
      <c r="D15" s="58" t="s">
        <v>126</v>
      </c>
    </row>
    <row r="16" spans="2:25">
      <c r="B16" s="56" t="s">
        <v>148</v>
      </c>
      <c r="C16" s="57">
        <f>G30/2+G8+G10+G17/2</f>
        <v>181.25</v>
      </c>
      <c r="D16" s="58" t="s">
        <v>126</v>
      </c>
      <c r="F16" s="59" t="s">
        <v>149</v>
      </c>
    </row>
    <row r="17" spans="2:9">
      <c r="B17" s="56" t="s">
        <v>150</v>
      </c>
      <c r="C17" s="57">
        <f>G26+80</f>
        <v>310</v>
      </c>
      <c r="D17" s="58" t="s">
        <v>126</v>
      </c>
      <c r="F17" s="49" t="s">
        <v>151</v>
      </c>
      <c r="G17" s="48">
        <f>Configuration!D16</f>
        <v>230</v>
      </c>
    </row>
    <row r="18" spans="2:9">
      <c r="B18" s="56" t="s">
        <v>152</v>
      </c>
      <c r="C18" s="57">
        <f>C28</f>
        <v>15</v>
      </c>
      <c r="D18" s="58" t="s">
        <v>126</v>
      </c>
      <c r="F18" s="49" t="s">
        <v>153</v>
      </c>
      <c r="G18" s="48">
        <v>31.5</v>
      </c>
      <c r="H18" s="60" t="s">
        <v>154</v>
      </c>
    </row>
    <row r="19" spans="2:9">
      <c r="B19" s="56" t="s">
        <v>155</v>
      </c>
      <c r="C19" s="57">
        <f>70</f>
        <v>70</v>
      </c>
      <c r="D19" s="58" t="s">
        <v>126</v>
      </c>
      <c r="F19" s="49" t="s">
        <v>156</v>
      </c>
      <c r="G19" s="48">
        <v>12</v>
      </c>
      <c r="H19" s="60" t="s">
        <v>157</v>
      </c>
    </row>
    <row r="20" spans="2:9">
      <c r="B20" s="56" t="s">
        <v>158</v>
      </c>
      <c r="C20" s="57">
        <v>10</v>
      </c>
      <c r="D20" s="58" t="s">
        <v>126</v>
      </c>
      <c r="F20" s="49" t="s">
        <v>159</v>
      </c>
      <c r="G20" s="48">
        <v>58</v>
      </c>
      <c r="H20" s="60" t="s">
        <v>160</v>
      </c>
    </row>
    <row r="21" spans="2:9">
      <c r="B21" s="56" t="s">
        <v>161</v>
      </c>
      <c r="C21" s="57">
        <v>6</v>
      </c>
      <c r="D21" s="58" t="s">
        <v>126</v>
      </c>
      <c r="F21" s="49" t="s">
        <v>162</v>
      </c>
      <c r="G21" s="48">
        <v>45</v>
      </c>
      <c r="H21" s="60" t="s">
        <v>163</v>
      </c>
    </row>
    <row r="22" spans="2:9">
      <c r="F22" s="49" t="s">
        <v>164</v>
      </c>
      <c r="G22" s="48">
        <f>G7+G9+G21*2</f>
        <v>365</v>
      </c>
      <c r="H22" s="60" t="s">
        <v>165</v>
      </c>
    </row>
    <row r="23" spans="2:9" ht="15">
      <c r="B23" s="62" t="s">
        <v>166</v>
      </c>
      <c r="C23" s="52" t="s">
        <v>122</v>
      </c>
      <c r="D23" s="53" t="s">
        <v>123</v>
      </c>
      <c r="F23" s="49" t="s">
        <v>167</v>
      </c>
      <c r="G23" s="48">
        <f>C7-2*C5</f>
        <v>340</v>
      </c>
      <c r="H23" s="60"/>
    </row>
    <row r="24" spans="2:9">
      <c r="B24" s="56" t="s">
        <v>168</v>
      </c>
      <c r="C24" s="57">
        <f>VLOOKUP(Configuration!$G$15,Configuration!$N$6:'Configuration'!$R$11,2,FALSE)</f>
        <v>214</v>
      </c>
      <c r="D24" s="63" t="s">
        <v>126</v>
      </c>
      <c r="H24" s="60"/>
    </row>
    <row r="25" spans="2:9">
      <c r="B25" s="56" t="s">
        <v>169</v>
      </c>
      <c r="C25" s="57">
        <f>VLOOKUP(Configuration!$G$15,Configuration!$N$6:'Configuration'!$R$11,3,FALSE)</f>
        <v>214</v>
      </c>
      <c r="D25" s="63" t="s">
        <v>126</v>
      </c>
      <c r="F25" s="59" t="s">
        <v>170</v>
      </c>
    </row>
    <row r="26" spans="2:9">
      <c r="B26" s="56" t="s">
        <v>171</v>
      </c>
      <c r="C26" s="57">
        <f>VLOOKUP(Configuration!$G$15,Configuration!$N$6:'Configuration'!$R$11,4,FALSE)</f>
        <v>210</v>
      </c>
      <c r="D26" s="63" t="s">
        <v>126</v>
      </c>
      <c r="F26" s="49" t="s">
        <v>172</v>
      </c>
      <c r="G26" s="48">
        <f>Configuration!D17</f>
        <v>230</v>
      </c>
      <c r="I26" s="64" t="s">
        <v>173</v>
      </c>
    </row>
    <row r="27" spans="2:9">
      <c r="B27" s="56" t="s">
        <v>174</v>
      </c>
      <c r="C27" s="57">
        <f>VLOOKUP(Configuration!$G$15,Configuration!$N$6:'Configuration'!$R$11,5,FALSE)</f>
        <v>210</v>
      </c>
      <c r="D27" s="63" t="s">
        <v>126</v>
      </c>
      <c r="F27" s="49" t="s">
        <v>175</v>
      </c>
      <c r="G27" s="48">
        <v>113.7</v>
      </c>
      <c r="I27" s="48" t="s">
        <v>176</v>
      </c>
    </row>
    <row r="28" spans="2:9">
      <c r="B28" s="56" t="s">
        <v>177</v>
      </c>
      <c r="C28" s="57">
        <f>VLOOKUP(Configuration!G16,Configuration!N19:O23,2,FALSE)</f>
        <v>15</v>
      </c>
      <c r="D28" s="63" t="s">
        <v>126</v>
      </c>
      <c r="F28" s="49" t="s">
        <v>178</v>
      </c>
      <c r="G28" s="48">
        <v>68</v>
      </c>
      <c r="I28" s="48" t="s">
        <v>179</v>
      </c>
    </row>
    <row r="29" spans="2:9">
      <c r="F29" s="49" t="s">
        <v>180</v>
      </c>
      <c r="G29" s="48">
        <v>17</v>
      </c>
      <c r="I29" s="48" t="s">
        <v>181</v>
      </c>
    </row>
    <row r="30" spans="2:9">
      <c r="F30" s="49" t="s">
        <v>182</v>
      </c>
      <c r="G30" s="48">
        <v>12</v>
      </c>
      <c r="I30" s="48" t="s">
        <v>183</v>
      </c>
    </row>
    <row r="31" spans="2:9">
      <c r="F31" s="49" t="s">
        <v>184</v>
      </c>
      <c r="G31" s="48">
        <v>22</v>
      </c>
      <c r="H31" s="60" t="s">
        <v>185</v>
      </c>
    </row>
    <row r="32" spans="2:9">
      <c r="F32" s="49" t="s">
        <v>186</v>
      </c>
      <c r="G32" s="48">
        <f>IF(Configuration!J15="Double",Sheet1!C8-100,Sheet1!C8)</f>
        <v>330</v>
      </c>
    </row>
    <row r="33" spans="6:10">
      <c r="F33" s="49" t="s">
        <v>187</v>
      </c>
    </row>
    <row r="34" spans="6:10">
      <c r="F34" s="49" t="s">
        <v>188</v>
      </c>
    </row>
    <row r="35" spans="6:10">
      <c r="I35" s="65" t="s">
        <v>189</v>
      </c>
      <c r="J35" s="65" t="s">
        <v>190</v>
      </c>
    </row>
    <row r="36" spans="6:10">
      <c r="F36" s="49" t="s">
        <v>191</v>
      </c>
      <c r="G36" s="48">
        <f>IF(Configuration!J15="Double",MAX(I36:J36),Sheet1!I36)</f>
        <v>395</v>
      </c>
      <c r="I36" s="65">
        <f>G22+C5</f>
        <v>395</v>
      </c>
      <c r="J36" s="65">
        <f>$C$5+2*$G$31+2*$G$13+$C$24</f>
        <v>348</v>
      </c>
    </row>
    <row r="37" spans="6:10">
      <c r="F37" s="49" t="s">
        <v>192</v>
      </c>
      <c r="G37" s="48">
        <f>MAX(I37:J37)</f>
        <v>393</v>
      </c>
      <c r="I37" s="65">
        <f>($G$18+$G$20/2-$G$10+$G$17+$G$10+$G$8+$G$30/2+$G$31+$C$5*2)</f>
        <v>393</v>
      </c>
      <c r="J37" s="65">
        <f>($C$25+2*$C$5)</f>
        <v>274</v>
      </c>
    </row>
    <row r="38" spans="6:10">
      <c r="F38" s="49" t="s">
        <v>193</v>
      </c>
      <c r="G38" s="48">
        <f>G27+G28+G29+G26</f>
        <v>428.7</v>
      </c>
    </row>
    <row r="40" spans="6:10">
      <c r="F40" s="49" t="s">
        <v>194</v>
      </c>
      <c r="I40" s="65">
        <f>$C$26-2*$C$28</f>
        <v>180</v>
      </c>
      <c r="J40" s="65">
        <f>Sheet1!$C$6-2*Sheet1!$C$5-5</f>
        <v>335</v>
      </c>
    </row>
    <row r="41" spans="6:10">
      <c r="F41" s="49" t="s">
        <v>195</v>
      </c>
      <c r="I41" s="65">
        <f>(ROUNDUP(($G$31-2.5+$G$8+$G$10+$G$17+$G$30/2+7.5)/10,0)*10)</f>
        <v>330</v>
      </c>
      <c r="J41" s="65">
        <f>Sheet1!$C$27-2*Sheet1!$C$28</f>
        <v>180</v>
      </c>
    </row>
    <row r="43" spans="6:10">
      <c r="F43" s="49" t="s">
        <v>196</v>
      </c>
      <c r="G43" s="48">
        <f>IF(Configuration!$J$15="Double",Sheet1!C26-Sheet1!J43,Sheet1!C26-Sheet1!I43)</f>
        <v>0</v>
      </c>
      <c r="I43" s="65">
        <f>MAX(180,I40)+2*C28</f>
        <v>210</v>
      </c>
      <c r="J43" s="65">
        <f>C26</f>
        <v>210</v>
      </c>
    </row>
    <row r="44" spans="6:10">
      <c r="F44" s="49" t="s">
        <v>197</v>
      </c>
      <c r="G44" s="48">
        <f>IF(Configuration!$J$15="Double",Sheet1!C27-Sheet1!J44,Sheet1!C27-Sheet1!I44)</f>
        <v>0</v>
      </c>
      <c r="I44" s="65">
        <f>C27</f>
        <v>210</v>
      </c>
      <c r="J44" s="65">
        <f>MAX(180,J41)+2*C28</f>
        <v>210</v>
      </c>
    </row>
    <row r="45" spans="6:10">
      <c r="G45" s="48">
        <f>G43+G44</f>
        <v>0</v>
      </c>
    </row>
    <row r="50" spans="3:3">
      <c r="C50" s="65"/>
    </row>
  </sheetData>
  <dataValidations count="1">
    <dataValidation operator="greaterThan" allowBlank="1" showInputMessage="1" showErrorMessage="1" sqref="C14 I40:J40" xr:uid="{AB582B19-AE70-4179-9BAF-143787F2C5BC}"/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393DF-3890-4D4A-801A-15D633405760}">
  <dimension ref="B1:W48"/>
  <sheetViews>
    <sheetView showGridLines="0" topLeftCell="A7" zoomScale="85" zoomScaleNormal="85" workbookViewId="0">
      <selection activeCell="I30" sqref="I30"/>
    </sheetView>
  </sheetViews>
  <sheetFormatPr defaultColWidth="9.1796875" defaultRowHeight="14.5"/>
  <cols>
    <col min="1" max="1" width="4" customWidth="1"/>
    <col min="2" max="2" width="12.81640625" customWidth="1"/>
    <col min="3" max="3" width="11.453125" customWidth="1"/>
    <col min="4" max="4" width="8.81640625" style="1" customWidth="1"/>
    <col min="5" max="5" width="6.1796875" style="1" customWidth="1"/>
    <col min="6" max="6" width="8.81640625" customWidth="1"/>
    <col min="7" max="7" width="20.81640625" customWidth="1"/>
    <col min="8" max="8" width="12.81640625" customWidth="1"/>
    <col min="9" max="9" width="8.81640625" customWidth="1"/>
    <col min="10" max="11" width="12.81640625" customWidth="1"/>
    <col min="13" max="13" width="3.1796875" customWidth="1"/>
    <col min="14" max="14" width="19.453125" style="48" customWidth="1"/>
    <col min="15" max="15" width="13.1796875" style="48" customWidth="1"/>
    <col min="16" max="18" width="13.1796875" customWidth="1"/>
  </cols>
  <sheetData>
    <row r="1" spans="2:23" ht="15.75" customHeight="1">
      <c r="C1" s="66"/>
      <c r="D1" s="67"/>
      <c r="E1" s="67"/>
      <c r="F1" s="66"/>
      <c r="G1" s="66"/>
      <c r="H1" s="66"/>
      <c r="I1" s="66"/>
      <c r="J1" s="66"/>
      <c r="K1" s="66"/>
    </row>
    <row r="2" spans="2:23" ht="14.25" customHeight="1">
      <c r="B2" s="68" t="s">
        <v>198</v>
      </c>
      <c r="C2" s="69"/>
      <c r="D2" s="69"/>
      <c r="E2" s="69"/>
      <c r="F2" s="70"/>
      <c r="G2" s="70"/>
      <c r="H2" s="70"/>
      <c r="I2" s="70"/>
      <c r="J2" s="70"/>
      <c r="K2" s="70"/>
      <c r="M2" s="71"/>
    </row>
    <row r="3" spans="2:23" ht="18.75" customHeight="1">
      <c r="B3" s="72" t="s">
        <v>199</v>
      </c>
      <c r="C3" s="69"/>
      <c r="D3" s="73"/>
      <c r="E3" s="73"/>
      <c r="F3" s="70"/>
      <c r="G3" s="70"/>
      <c r="H3" s="70"/>
      <c r="I3" s="70"/>
      <c r="J3" s="74" t="s">
        <v>200</v>
      </c>
      <c r="K3" s="70" t="s">
        <v>201</v>
      </c>
      <c r="M3" s="71"/>
      <c r="N3" s="48" t="s">
        <v>202</v>
      </c>
    </row>
    <row r="4" spans="2:23" ht="15" customHeight="1">
      <c r="M4" s="71"/>
      <c r="N4" s="75"/>
      <c r="O4" s="162" t="s">
        <v>203</v>
      </c>
      <c r="P4" s="163"/>
      <c r="Q4" s="162" t="s">
        <v>204</v>
      </c>
      <c r="R4" s="164"/>
    </row>
    <row r="5" spans="2:23" ht="15" customHeight="1">
      <c r="M5" s="71"/>
      <c r="N5" s="76" t="s">
        <v>205</v>
      </c>
      <c r="O5" s="77" t="s">
        <v>168</v>
      </c>
      <c r="P5" s="77" t="s">
        <v>169</v>
      </c>
      <c r="Q5" s="77" t="s">
        <v>171</v>
      </c>
      <c r="R5" s="78" t="s">
        <v>174</v>
      </c>
    </row>
    <row r="6" spans="2:23" ht="15" customHeight="1">
      <c r="M6" s="71"/>
      <c r="N6" s="79" t="s">
        <v>206</v>
      </c>
      <c r="O6" s="80">
        <v>214</v>
      </c>
      <c r="P6" s="80">
        <v>214</v>
      </c>
      <c r="Q6" s="80">
        <v>210</v>
      </c>
      <c r="R6" s="81">
        <v>210</v>
      </c>
      <c r="S6" s="82" t="s">
        <v>207</v>
      </c>
    </row>
    <row r="7" spans="2:23" ht="15" customHeight="1">
      <c r="M7" s="71"/>
      <c r="N7" s="83" t="s">
        <v>208</v>
      </c>
      <c r="O7" s="84">
        <v>330</v>
      </c>
      <c r="P7" s="84">
        <v>330</v>
      </c>
      <c r="Q7" s="84">
        <v>320</v>
      </c>
      <c r="R7" s="85">
        <v>320</v>
      </c>
    </row>
    <row r="8" spans="2:23" ht="15" customHeight="1">
      <c r="M8" s="71"/>
      <c r="N8" s="75"/>
      <c r="O8" s="84"/>
      <c r="P8" s="84"/>
      <c r="Q8" s="84"/>
      <c r="R8" s="85"/>
    </row>
    <row r="9" spans="2:23" ht="15" customHeight="1">
      <c r="M9" s="71"/>
      <c r="N9" s="75"/>
      <c r="O9" s="84"/>
      <c r="P9" s="84"/>
      <c r="Q9" s="84"/>
      <c r="R9" s="85"/>
    </row>
    <row r="10" spans="2:23" ht="15" customHeight="1">
      <c r="M10" s="71"/>
      <c r="N10" s="75"/>
      <c r="O10" s="84"/>
      <c r="P10" s="84"/>
      <c r="Q10" s="84"/>
      <c r="R10" s="85"/>
    </row>
    <row r="11" spans="2:23" ht="15" customHeight="1">
      <c r="M11" s="71"/>
      <c r="N11" s="86" t="s">
        <v>209</v>
      </c>
      <c r="O11" s="87">
        <v>330</v>
      </c>
      <c r="P11" s="87">
        <v>330</v>
      </c>
      <c r="Q11" s="87">
        <v>320</v>
      </c>
      <c r="R11" s="88">
        <v>320</v>
      </c>
    </row>
    <row r="12" spans="2:23" ht="15" customHeight="1">
      <c r="M12" s="71"/>
    </row>
    <row r="13" spans="2:23" ht="15" customHeight="1">
      <c r="M13" s="71"/>
    </row>
    <row r="14" spans="2:23" ht="15" customHeight="1">
      <c r="B14" s="165" t="s">
        <v>210</v>
      </c>
      <c r="C14" s="165"/>
      <c r="D14" s="165"/>
      <c r="E14" s="165"/>
      <c r="F14" s="66"/>
      <c r="G14" s="62" t="s">
        <v>166</v>
      </c>
      <c r="H14" s="89"/>
      <c r="J14" s="62" t="s">
        <v>170</v>
      </c>
      <c r="K14" s="89"/>
      <c r="M14" s="71"/>
      <c r="V14" s="90"/>
      <c r="W14" s="90"/>
    </row>
    <row r="15" spans="2:23" ht="15" customHeight="1">
      <c r="C15" s="91" t="s">
        <v>117</v>
      </c>
      <c r="D15" s="92">
        <v>220</v>
      </c>
      <c r="E15" s="67" t="s">
        <v>126</v>
      </c>
      <c r="F15" s="66"/>
      <c r="G15" s="82" t="s">
        <v>206</v>
      </c>
      <c r="H15" s="82" t="s">
        <v>211</v>
      </c>
      <c r="I15" s="66"/>
      <c r="J15" s="82" t="s">
        <v>212</v>
      </c>
      <c r="K15" s="82" t="s">
        <v>211</v>
      </c>
      <c r="M15" s="71"/>
      <c r="N15" s="48" t="s">
        <v>213</v>
      </c>
    </row>
    <row r="16" spans="2:23" ht="15" customHeight="1">
      <c r="C16" s="91" t="s">
        <v>118</v>
      </c>
      <c r="D16" s="92">
        <v>230</v>
      </c>
      <c r="E16" s="67" t="s">
        <v>126</v>
      </c>
      <c r="F16" s="66"/>
      <c r="G16" s="82" t="s">
        <v>214</v>
      </c>
      <c r="H16" s="82" t="s">
        <v>211</v>
      </c>
      <c r="M16" s="71"/>
    </row>
    <row r="17" spans="2:15" ht="15" customHeight="1">
      <c r="C17" s="91" t="s">
        <v>119</v>
      </c>
      <c r="D17" s="92">
        <v>230</v>
      </c>
      <c r="E17" s="67" t="s">
        <v>126</v>
      </c>
      <c r="F17" s="66"/>
      <c r="G17" s="49" t="str">
        <f>IF(Sheet1!G45&lt;&gt;0,"Bracket selection not Ok","Bracket selection Ok")</f>
        <v>Bracket selection Ok</v>
      </c>
      <c r="M17" s="71"/>
      <c r="N17" s="75"/>
      <c r="O17" s="85" t="s">
        <v>215</v>
      </c>
    </row>
    <row r="18" spans="2:15" ht="15" customHeight="1">
      <c r="C18" s="91"/>
      <c r="D18" s="92"/>
      <c r="E18" s="67"/>
      <c r="F18" s="66"/>
      <c r="G18" s="49"/>
      <c r="M18" s="71"/>
      <c r="N18" s="76" t="s">
        <v>205</v>
      </c>
      <c r="O18" s="78" t="s">
        <v>216</v>
      </c>
    </row>
    <row r="19" spans="2:15" ht="15" customHeight="1">
      <c r="D19"/>
      <c r="E19"/>
      <c r="F19" s="66"/>
      <c r="G19" s="62" t="s">
        <v>18</v>
      </c>
      <c r="M19" s="71"/>
      <c r="N19" s="79" t="s">
        <v>214</v>
      </c>
      <c r="O19" s="81">
        <v>15</v>
      </c>
    </row>
    <row r="20" spans="2:15" ht="15" customHeight="1">
      <c r="D20"/>
      <c r="E20"/>
      <c r="F20" s="93" t="s">
        <v>217</v>
      </c>
      <c r="G20" s="82" t="s">
        <v>218</v>
      </c>
      <c r="H20" s="82" t="s">
        <v>211</v>
      </c>
      <c r="J20" t="s">
        <v>219</v>
      </c>
      <c r="M20" s="71"/>
      <c r="N20" s="75" t="s">
        <v>220</v>
      </c>
      <c r="O20" s="85">
        <v>20</v>
      </c>
    </row>
    <row r="21" spans="2:15" ht="15" customHeight="1">
      <c r="D21"/>
      <c r="E21"/>
      <c r="F21" s="93" t="s">
        <v>221</v>
      </c>
      <c r="G21" s="82" t="s">
        <v>222</v>
      </c>
      <c r="H21" s="82" t="s">
        <v>211</v>
      </c>
      <c r="J21" t="s">
        <v>223</v>
      </c>
      <c r="M21" s="71"/>
      <c r="N21" s="75" t="s">
        <v>224</v>
      </c>
      <c r="O21" s="85">
        <v>25</v>
      </c>
    </row>
    <row r="22" spans="2:15" ht="15" customHeight="1">
      <c r="D22"/>
      <c r="E22"/>
      <c r="F22" s="93" t="s">
        <v>225</v>
      </c>
      <c r="G22" s="82" t="s">
        <v>226</v>
      </c>
      <c r="H22" s="82" t="s">
        <v>211</v>
      </c>
      <c r="M22" s="71"/>
      <c r="N22" s="75" t="s">
        <v>227</v>
      </c>
      <c r="O22" s="85">
        <v>30</v>
      </c>
    </row>
    <row r="23" spans="2:15" ht="15" customHeight="1">
      <c r="M23" s="71"/>
      <c r="N23" s="75" t="s">
        <v>228</v>
      </c>
      <c r="O23" s="85">
        <v>45</v>
      </c>
    </row>
    <row r="24" spans="2:15" ht="15" customHeight="1">
      <c r="C24" s="94" t="s">
        <v>229</v>
      </c>
      <c r="D24" s="67"/>
      <c r="E24" s="67"/>
      <c r="F24" s="66"/>
      <c r="G24" s="66"/>
      <c r="H24" s="66"/>
      <c r="M24" s="71"/>
    </row>
    <row r="25" spans="2:15" ht="15" customHeight="1">
      <c r="C25" s="66"/>
      <c r="D25" s="67"/>
      <c r="E25" s="67"/>
      <c r="F25" s="66"/>
      <c r="G25" s="66"/>
      <c r="H25" s="66"/>
      <c r="M25" s="71"/>
    </row>
    <row r="26" spans="2:15" ht="15" customHeight="1">
      <c r="B26" s="166" t="s">
        <v>230</v>
      </c>
      <c r="C26" s="167"/>
      <c r="D26" s="95" t="s">
        <v>231</v>
      </c>
      <c r="E26" s="95" t="s">
        <v>123</v>
      </c>
      <c r="F26" s="96" t="s">
        <v>27</v>
      </c>
      <c r="G26" s="96" t="s">
        <v>232</v>
      </c>
      <c r="H26" s="3"/>
      <c r="I26" s="3"/>
      <c r="J26" s="3"/>
      <c r="M26" s="71"/>
    </row>
    <row r="27" spans="2:15" ht="15" customHeight="1">
      <c r="B27" s="160" t="s">
        <v>233</v>
      </c>
      <c r="C27" s="161"/>
      <c r="D27" s="80">
        <f>Sheet1!C6-2*Sheet1!C5</f>
        <v>340</v>
      </c>
      <c r="E27" s="80" t="s">
        <v>126</v>
      </c>
      <c r="F27" s="81">
        <v>4</v>
      </c>
      <c r="G27" s="97" t="s">
        <v>234</v>
      </c>
      <c r="M27" s="71"/>
    </row>
    <row r="28" spans="2:15" ht="15" customHeight="1">
      <c r="B28" s="98"/>
      <c r="C28" s="99"/>
      <c r="D28" s="84">
        <f>Sheet1!C7-2*Sheet1!C5</f>
        <v>340</v>
      </c>
      <c r="E28" s="84" t="s">
        <v>126</v>
      </c>
      <c r="F28" s="85">
        <f>IF(J15="Double",6,4)</f>
        <v>6</v>
      </c>
      <c r="G28" s="97" t="s">
        <v>235</v>
      </c>
      <c r="H28" s="66"/>
      <c r="M28" s="71"/>
    </row>
    <row r="29" spans="2:15" ht="15" customHeight="1">
      <c r="B29" s="98"/>
      <c r="C29" s="100"/>
      <c r="D29" s="84">
        <f>Sheet1!C8+Sheet1!C19</f>
        <v>500</v>
      </c>
      <c r="E29" s="84" t="s">
        <v>126</v>
      </c>
      <c r="F29" s="85">
        <v>4</v>
      </c>
      <c r="G29" s="97" t="s">
        <v>236</v>
      </c>
      <c r="M29" s="71"/>
    </row>
    <row r="30" spans="2:15" ht="15" customHeight="1">
      <c r="B30" s="160" t="s">
        <v>237</v>
      </c>
      <c r="C30" s="161"/>
      <c r="D30" s="84">
        <f>IF(J15="Double",Sheet1!C14,Sheet1!C14-2*Sheet1!C13)</f>
        <v>335</v>
      </c>
      <c r="E30" s="84" t="s">
        <v>126</v>
      </c>
      <c r="F30" s="85">
        <f>IF(J15="Double",2,1)</f>
        <v>2</v>
      </c>
      <c r="G30" s="97" t="s">
        <v>238</v>
      </c>
      <c r="M30" s="71"/>
    </row>
    <row r="31" spans="2:15" ht="15" customHeight="1">
      <c r="B31" s="98"/>
      <c r="C31" s="99"/>
      <c r="D31" s="84">
        <f>IF(J15="Double",Sheet1!C15-2*Sheet1!C13,Sheet1!C15)</f>
        <v>140</v>
      </c>
      <c r="E31" s="84" t="s">
        <v>126</v>
      </c>
      <c r="F31" s="85">
        <v>2</v>
      </c>
      <c r="G31" s="97" t="s">
        <v>239</v>
      </c>
      <c r="I31" s="66"/>
      <c r="J31" s="66"/>
      <c r="K31" s="66"/>
      <c r="M31" s="71"/>
    </row>
    <row r="32" spans="2:15" ht="15" customHeight="1">
      <c r="B32" s="91" t="str">
        <f>G20</f>
        <v xml:space="preserve">Diam 8 </v>
      </c>
      <c r="C32" s="101" t="s">
        <v>240</v>
      </c>
      <c r="D32" s="84">
        <f>Sheet1!G12</f>
        <v>370</v>
      </c>
      <c r="E32" s="84" t="s">
        <v>126</v>
      </c>
      <c r="F32" s="85">
        <v>2</v>
      </c>
      <c r="G32" s="97" t="s">
        <v>241</v>
      </c>
      <c r="I32" s="66"/>
      <c r="J32" s="66"/>
      <c r="K32" s="66"/>
      <c r="M32" s="71"/>
    </row>
    <row r="33" spans="2:13" ht="15" customHeight="1">
      <c r="B33" s="91" t="str">
        <f>G21</f>
        <v>Diam 10</v>
      </c>
      <c r="C33" s="101" t="s">
        <v>240</v>
      </c>
      <c r="D33" s="84">
        <f>Sheet1!G23</f>
        <v>340</v>
      </c>
      <c r="E33" s="84" t="s">
        <v>126</v>
      </c>
      <c r="F33" s="85">
        <v>2</v>
      </c>
      <c r="G33" s="97" t="s">
        <v>242</v>
      </c>
      <c r="I33" s="66"/>
      <c r="J33" s="66"/>
      <c r="K33" s="66"/>
      <c r="M33" s="71"/>
    </row>
    <row r="34" spans="2:13" ht="15" customHeight="1">
      <c r="B34" s="66" t="str">
        <f>G22</f>
        <v xml:space="preserve">Diam 12 </v>
      </c>
      <c r="C34" s="75" t="s">
        <v>240</v>
      </c>
      <c r="D34" s="84">
        <f>Sheet1!G32</f>
        <v>330</v>
      </c>
      <c r="E34" s="84" t="s">
        <v>126</v>
      </c>
      <c r="F34" s="85">
        <f>IF(J15="Double",4,2)</f>
        <v>4</v>
      </c>
      <c r="G34" s="97" t="s">
        <v>243</v>
      </c>
      <c r="I34" s="66"/>
      <c r="J34" s="66"/>
      <c r="K34" s="66"/>
      <c r="M34" s="71"/>
    </row>
    <row r="35" spans="2:13" ht="15" customHeight="1">
      <c r="C35" s="75"/>
      <c r="D35" s="84"/>
      <c r="E35" s="84"/>
      <c r="F35" s="85"/>
      <c r="G35" s="97"/>
      <c r="I35" s="66"/>
      <c r="M35" s="71"/>
    </row>
    <row r="36" spans="2:13" ht="15" customHeight="1">
      <c r="C36" s="75"/>
      <c r="D36" s="84"/>
      <c r="E36" s="84"/>
      <c r="F36" s="85"/>
      <c r="G36" s="97"/>
      <c r="I36" s="66"/>
      <c r="M36" s="71"/>
    </row>
    <row r="37" spans="2:13" ht="15" customHeight="1">
      <c r="D37" s="67"/>
      <c r="E37" s="67"/>
      <c r="F37" s="66"/>
      <c r="G37" s="66"/>
      <c r="M37" s="71"/>
    </row>
    <row r="38" spans="2:13" ht="15" customHeight="1"/>
    <row r="40" spans="2:13">
      <c r="B40" s="102" t="s">
        <v>218</v>
      </c>
    </row>
    <row r="41" spans="2:13">
      <c r="B41" s="102" t="s">
        <v>222</v>
      </c>
    </row>
    <row r="42" spans="2:13">
      <c r="B42" s="103" t="s">
        <v>226</v>
      </c>
    </row>
    <row r="43" spans="2:13">
      <c r="B43" s="102" t="s">
        <v>244</v>
      </c>
    </row>
    <row r="44" spans="2:13">
      <c r="B44" s="102" t="s">
        <v>212</v>
      </c>
      <c r="C44" s="66"/>
      <c r="G44" s="66"/>
    </row>
    <row r="45" spans="2:13">
      <c r="C45" s="66"/>
      <c r="D45" s="67"/>
      <c r="E45" s="67"/>
      <c r="F45" s="66"/>
      <c r="G45" s="66"/>
    </row>
    <row r="46" spans="2:13">
      <c r="D46" s="67"/>
      <c r="E46" s="67"/>
      <c r="F46" s="66"/>
      <c r="G46" s="66"/>
    </row>
    <row r="47" spans="2:13">
      <c r="C47" s="66"/>
      <c r="G47" s="66"/>
    </row>
    <row r="48" spans="2:13">
      <c r="C48" s="66"/>
      <c r="G48" s="66"/>
    </row>
  </sheetData>
  <mergeCells count="6">
    <mergeCell ref="B30:C30"/>
    <mergeCell ref="O4:P4"/>
    <mergeCell ref="Q4:R4"/>
    <mergeCell ref="B14:E14"/>
    <mergeCell ref="B26:C26"/>
    <mergeCell ref="B27:C27"/>
  </mergeCells>
  <dataValidations disablePrompts="1" count="9">
    <dataValidation type="list" allowBlank="1" showInputMessage="1" showErrorMessage="1" sqref="G22" xr:uid="{212487EE-08AF-46A3-91BC-7C27B253DAFE}">
      <formula1>$B$42</formula1>
    </dataValidation>
    <dataValidation type="list" allowBlank="1" showInputMessage="1" showErrorMessage="1" sqref="G20:G21" xr:uid="{E4185EFE-86AF-4BAF-A2A1-EFE0CB1A70BB}">
      <formula1>$B$40:$B$41</formula1>
    </dataValidation>
    <dataValidation type="whole" operator="greaterThanOrEqual" allowBlank="1" showInputMessage="1" showErrorMessage="1" sqref="D16" xr:uid="{8ED2AB9E-6903-4F56-BEF0-B6498FC08537}">
      <formula1>R6-10</formula1>
    </dataValidation>
    <dataValidation type="whole" operator="greaterThanOrEqual" allowBlank="1" showInputMessage="1" showErrorMessage="1" sqref="D15" xr:uid="{A9A40B03-2569-4DF7-98FE-69A1A3512B18}">
      <formula1>Q6-10</formula1>
    </dataValidation>
    <dataValidation type="whole" operator="greaterThanOrEqual" allowBlank="1" showInputMessage="1" showErrorMessage="1" sqref="Q11:R11" xr:uid="{27BCCF22-DA57-44CF-A3EB-039074725627}">
      <formula1>210</formula1>
    </dataValidation>
    <dataValidation type="whole" operator="greaterThanOrEqual" allowBlank="1" showInputMessage="1" showErrorMessage="1" sqref="O11:P11" xr:uid="{C7A9DA8F-89BF-4FDC-82A7-ADA6F1FCC01B}">
      <formula1>214</formula1>
    </dataValidation>
    <dataValidation type="list" allowBlank="1" showInputMessage="1" showErrorMessage="1" sqref="J15" xr:uid="{24959F23-E5E7-4DF2-8CD0-FFEA5614A42F}">
      <formula1>$B$43:$B$44</formula1>
    </dataValidation>
    <dataValidation type="list" allowBlank="1" showInputMessage="1" showErrorMessage="1" sqref="G16" xr:uid="{43003386-A71B-4872-B1C9-C7C3A5501E5E}">
      <formula1>$N$19:$N$23</formula1>
    </dataValidation>
    <dataValidation type="list" allowBlank="1" showInputMessage="1" showErrorMessage="1" sqref="G15" xr:uid="{76855508-93E9-4F7A-B159-6D872B1E3ED4}">
      <formula1>$N$6:$N$11</formula1>
    </dataValidation>
  </dataValidations>
  <hyperlinks>
    <hyperlink ref="N7" r:id="rId1" xr:uid="{7EEDFFD7-22F9-473E-B48E-E43E51DDCDC5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9B03-9B4D-4302-B8DB-84BDA98FF30D}">
  <dimension ref="B2:G51"/>
  <sheetViews>
    <sheetView showGridLines="0" zoomScale="85" zoomScaleNormal="85" workbookViewId="0">
      <selection activeCell="C10" sqref="C10"/>
    </sheetView>
  </sheetViews>
  <sheetFormatPr defaultColWidth="9.1796875" defaultRowHeight="14.5"/>
  <cols>
    <col min="1" max="1" width="3.81640625" customWidth="1"/>
    <col min="2" max="2" width="31.1796875" customWidth="1"/>
    <col min="3" max="3" width="21.1796875" customWidth="1"/>
    <col min="4" max="6" width="21.1796875" hidden="1" customWidth="1"/>
    <col min="7" max="7" width="41" hidden="1" customWidth="1"/>
    <col min="8" max="8" width="2.81640625" customWidth="1"/>
  </cols>
  <sheetData>
    <row r="2" spans="2:7" ht="16">
      <c r="B2" s="68" t="s">
        <v>270</v>
      </c>
      <c r="C2" s="104" t="s">
        <v>245</v>
      </c>
      <c r="D2" s="68"/>
      <c r="E2" s="68"/>
      <c r="F2" s="68"/>
      <c r="G2" s="68"/>
    </row>
    <row r="3" spans="2:7" ht="15.75" customHeight="1">
      <c r="B3" s="72"/>
      <c r="C3" s="105" t="s">
        <v>27</v>
      </c>
      <c r="D3" s="106" t="s">
        <v>246</v>
      </c>
      <c r="E3" s="106" t="s">
        <v>247</v>
      </c>
      <c r="F3" s="106" t="s">
        <v>248</v>
      </c>
      <c r="G3" s="107" t="s">
        <v>249</v>
      </c>
    </row>
    <row r="4" spans="2:7">
      <c r="B4" s="108" t="s">
        <v>271</v>
      </c>
      <c r="C4" s="109"/>
      <c r="D4" s="110" t="str">
        <f>Configuration!B32</f>
        <v xml:space="preserve">Diam 8 </v>
      </c>
      <c r="E4" s="111" t="str">
        <f>Configuration!B33</f>
        <v>Diam 10</v>
      </c>
      <c r="F4" s="110" t="str">
        <f>Configuration!J15</f>
        <v>Double</v>
      </c>
      <c r="G4" s="109"/>
    </row>
    <row r="5" spans="2:7">
      <c r="C5" s="112"/>
      <c r="D5" s="112"/>
      <c r="E5" s="113"/>
      <c r="F5" s="112"/>
      <c r="G5" s="114"/>
    </row>
    <row r="6" spans="2:7">
      <c r="B6" t="s">
        <v>250</v>
      </c>
      <c r="C6" s="112">
        <v>1</v>
      </c>
      <c r="D6" s="112"/>
      <c r="E6" s="113"/>
      <c r="F6" s="112"/>
      <c r="G6" s="114"/>
    </row>
    <row r="7" spans="2:7">
      <c r="B7" t="s">
        <v>251</v>
      </c>
      <c r="C7" s="112">
        <v>1</v>
      </c>
      <c r="D7" s="112"/>
      <c r="E7" s="113"/>
      <c r="F7" s="112"/>
      <c r="G7" s="114"/>
    </row>
    <row r="8" spans="2:7">
      <c r="B8" t="s">
        <v>589</v>
      </c>
      <c r="C8" s="112">
        <v>1</v>
      </c>
      <c r="D8" s="112"/>
      <c r="E8" s="113"/>
      <c r="F8" s="112"/>
      <c r="G8" s="114"/>
    </row>
    <row r="9" spans="2:7">
      <c r="B9" t="s">
        <v>252</v>
      </c>
      <c r="C9" s="112">
        <v>4</v>
      </c>
      <c r="D9" s="112"/>
      <c r="E9" s="113"/>
      <c r="F9" s="112"/>
      <c r="G9" s="114"/>
    </row>
    <row r="10" spans="2:7">
      <c r="B10" t="s">
        <v>325</v>
      </c>
      <c r="C10" s="112">
        <v>1</v>
      </c>
      <c r="D10" s="112"/>
      <c r="E10" s="113"/>
      <c r="F10" s="112"/>
      <c r="G10" s="114"/>
    </row>
    <row r="11" spans="2:7">
      <c r="B11" t="s">
        <v>253</v>
      </c>
      <c r="C11" s="112">
        <v>1</v>
      </c>
      <c r="D11" s="112"/>
      <c r="E11" s="115"/>
      <c r="F11" s="112"/>
      <c r="G11" s="114"/>
    </row>
    <row r="12" spans="2:7">
      <c r="B12" t="s">
        <v>254</v>
      </c>
      <c r="C12" s="112">
        <v>1</v>
      </c>
      <c r="D12" s="112"/>
      <c r="E12" s="115"/>
      <c r="F12" s="112"/>
      <c r="G12" s="114"/>
    </row>
    <row r="13" spans="2:7">
      <c r="B13" s="116" t="s">
        <v>255</v>
      </c>
      <c r="C13" s="112" t="s">
        <v>256</v>
      </c>
      <c r="D13" s="112"/>
      <c r="E13" s="115"/>
      <c r="F13" s="112"/>
      <c r="G13" s="114"/>
    </row>
    <row r="14" spans="2:7">
      <c r="B14" s="117" t="s">
        <v>257</v>
      </c>
      <c r="C14" s="112">
        <v>2</v>
      </c>
      <c r="D14" s="112"/>
      <c r="E14" s="115"/>
      <c r="F14" s="112"/>
      <c r="G14" s="114"/>
    </row>
    <row r="15" spans="2:7">
      <c r="B15" s="117"/>
      <c r="C15" s="112"/>
      <c r="D15" s="112"/>
      <c r="E15" s="115"/>
      <c r="F15" s="112"/>
      <c r="G15" s="114"/>
    </row>
    <row r="16" spans="2:7">
      <c r="B16" s="117"/>
      <c r="C16" s="112"/>
      <c r="D16" s="112"/>
      <c r="E16" s="115"/>
      <c r="F16" s="112"/>
      <c r="G16" s="114"/>
    </row>
    <row r="17" spans="2:7">
      <c r="B17" s="117" t="s">
        <v>258</v>
      </c>
      <c r="C17" s="112">
        <v>1</v>
      </c>
      <c r="D17" s="112"/>
      <c r="E17" s="115">
        <f>IF(E4=Configuration!B41,1,"")</f>
        <v>1</v>
      </c>
      <c r="F17" s="112"/>
      <c r="G17" s="114"/>
    </row>
    <row r="18" spans="2:7">
      <c r="B18" s="117" t="s">
        <v>259</v>
      </c>
      <c r="C18" s="112">
        <v>1</v>
      </c>
      <c r="D18" s="112"/>
      <c r="E18" s="115" t="str">
        <f>IF(E4=Configuration!B40,1,"")</f>
        <v/>
      </c>
      <c r="F18" s="112"/>
      <c r="G18" s="118"/>
    </row>
    <row r="19" spans="2:7">
      <c r="B19" s="117" t="s">
        <v>260</v>
      </c>
      <c r="C19" s="112">
        <v>1</v>
      </c>
      <c r="D19" s="112"/>
      <c r="E19" s="115">
        <f>IF(E4=Configuration!B41,1,"")</f>
        <v>1</v>
      </c>
      <c r="F19" s="112"/>
      <c r="G19" s="114"/>
    </row>
    <row r="20" spans="2:7">
      <c r="B20" s="117" t="s">
        <v>261</v>
      </c>
      <c r="C20" s="112">
        <v>1</v>
      </c>
      <c r="D20" s="112"/>
      <c r="E20" s="115" t="str">
        <f>IF(E4=Configuration!B40,1,"")</f>
        <v/>
      </c>
      <c r="F20" s="112"/>
      <c r="G20" s="118"/>
    </row>
    <row r="21" spans="2:7">
      <c r="C21" s="112"/>
      <c r="D21" s="112"/>
      <c r="E21" s="115">
        <f>IF(E4=Configuration!B41,1,"")</f>
        <v>1</v>
      </c>
      <c r="F21" s="112"/>
      <c r="G21" s="114"/>
    </row>
    <row r="22" spans="2:7">
      <c r="B22" s="119" t="s">
        <v>590</v>
      </c>
      <c r="C22" s="112">
        <v>1</v>
      </c>
      <c r="D22" s="112"/>
      <c r="E22" s="115" t="str">
        <f>IF(E4=Configuration!B40,1,"")</f>
        <v/>
      </c>
      <c r="F22" s="112"/>
      <c r="G22" s="118"/>
    </row>
    <row r="23" spans="2:7">
      <c r="B23" s="119" t="s">
        <v>591</v>
      </c>
      <c r="C23" s="112">
        <v>1</v>
      </c>
      <c r="D23" s="112"/>
      <c r="E23" s="115">
        <f>IF(E4=Configuration!B41,1,"")</f>
        <v>1</v>
      </c>
      <c r="F23" s="112"/>
      <c r="G23" s="114"/>
    </row>
    <row r="24" spans="2:7">
      <c r="C24" s="112"/>
      <c r="D24" s="112"/>
      <c r="E24" s="115" t="str">
        <f>IF(E4=Configuration!B40,1,"")</f>
        <v/>
      </c>
      <c r="F24" s="112"/>
      <c r="G24" s="118"/>
    </row>
    <row r="25" spans="2:7">
      <c r="B25" s="122" t="s">
        <v>262</v>
      </c>
      <c r="C25" s="112">
        <v>1</v>
      </c>
      <c r="D25" s="112"/>
      <c r="E25" s="115"/>
      <c r="F25" s="112"/>
      <c r="G25" s="114"/>
    </row>
    <row r="26" spans="2:7">
      <c r="B26" s="122" t="s">
        <v>263</v>
      </c>
      <c r="C26" s="112">
        <v>1</v>
      </c>
      <c r="D26" s="112"/>
      <c r="E26" s="115" t="str">
        <f>IF(E4=Configuration!B40,2,"")</f>
        <v/>
      </c>
      <c r="F26" s="112"/>
      <c r="G26" s="114"/>
    </row>
    <row r="27" spans="2:7">
      <c r="C27" s="112"/>
      <c r="D27" s="112"/>
      <c r="E27" s="115">
        <f>IF(E4=Configuration!B41,2,"")</f>
        <v>2</v>
      </c>
      <c r="F27" s="112"/>
      <c r="G27" s="114"/>
    </row>
    <row r="28" spans="2:7">
      <c r="B28" s="122" t="s">
        <v>592</v>
      </c>
      <c r="C28" s="112">
        <v>2</v>
      </c>
      <c r="D28" s="112"/>
      <c r="E28" s="115"/>
      <c r="F28" s="112"/>
      <c r="G28" s="114"/>
    </row>
    <row r="29" spans="2:7">
      <c r="B29" s="122" t="s">
        <v>593</v>
      </c>
      <c r="C29" s="112">
        <v>2</v>
      </c>
      <c r="D29" s="120" t="str">
        <f>IF(AND(Configuration!B32=Configuration!B40,Configuration!B33=Configuration!B40),2,"")</f>
        <v/>
      </c>
      <c r="E29" s="121"/>
      <c r="F29" s="112"/>
      <c r="G29" s="114"/>
    </row>
    <row r="30" spans="2:7">
      <c r="C30" s="112"/>
      <c r="D30" s="120">
        <f>IF(AND(Configuration!B32=Configuration!B40,Configuration!B33=Configuration!B41),2,"")</f>
        <v>2</v>
      </c>
      <c r="E30" s="121"/>
      <c r="F30" s="112"/>
      <c r="G30" s="114"/>
    </row>
    <row r="31" spans="2:7">
      <c r="B31" s="122" t="s">
        <v>594</v>
      </c>
      <c r="C31" s="112">
        <v>2</v>
      </c>
      <c r="D31" s="120" t="str">
        <f>IF(AND(Configuration!B32=Configuration!B41,Configuration!B33=Configuration!B40),2,"")</f>
        <v/>
      </c>
      <c r="E31" s="121"/>
      <c r="F31" s="112"/>
      <c r="G31" s="114"/>
    </row>
    <row r="32" spans="2:7">
      <c r="B32" s="122" t="s">
        <v>595</v>
      </c>
      <c r="C32" s="112">
        <v>2</v>
      </c>
      <c r="D32" s="120" t="str">
        <f>IF(AND(Configuration!B32=Configuration!B41,Configuration!B33=Configuration!B41),2,"")</f>
        <v/>
      </c>
      <c r="E32" s="121"/>
      <c r="F32" s="112"/>
      <c r="G32" s="114"/>
    </row>
    <row r="33" spans="2:7">
      <c r="B33" s="122"/>
      <c r="C33" s="112"/>
      <c r="D33" s="112"/>
      <c r="E33" s="113"/>
      <c r="F33" s="112"/>
      <c r="G33" s="114"/>
    </row>
    <row r="34" spans="2:7">
      <c r="B34" s="122" t="s">
        <v>596</v>
      </c>
      <c r="D34" s="112"/>
      <c r="E34" s="113"/>
      <c r="F34" s="112"/>
      <c r="G34" s="114"/>
    </row>
    <row r="35" spans="2:7">
      <c r="B35" s="122" t="s">
        <v>597</v>
      </c>
      <c r="D35" s="112"/>
      <c r="E35" s="113"/>
      <c r="F35" s="112"/>
      <c r="G35" s="114"/>
    </row>
    <row r="36" spans="2:7">
      <c r="B36" s="150" t="s">
        <v>460</v>
      </c>
      <c r="C36" s="112"/>
      <c r="D36" s="112"/>
      <c r="E36" s="113"/>
      <c r="F36" s="112"/>
      <c r="G36" s="114"/>
    </row>
    <row r="37" spans="2:7">
      <c r="B37" s="150" t="s">
        <v>461</v>
      </c>
      <c r="C37" s="112"/>
      <c r="D37" s="112"/>
      <c r="E37" s="113"/>
      <c r="F37" s="112">
        <f>IF(Configuration!J15=Configuration!B43,2,4)</f>
        <v>4</v>
      </c>
      <c r="G37" s="114"/>
    </row>
    <row r="38" spans="2:7">
      <c r="B38" s="151" t="s">
        <v>462</v>
      </c>
      <c r="C38" s="123"/>
      <c r="D38" s="123"/>
      <c r="E38" s="124"/>
      <c r="F38" s="112">
        <v>2</v>
      </c>
      <c r="G38" s="114"/>
    </row>
    <row r="39" spans="2:7">
      <c r="B39" s="151" t="s">
        <v>463</v>
      </c>
      <c r="C39" s="123"/>
      <c r="D39" s="123"/>
      <c r="E39" s="124"/>
      <c r="F39" s="112">
        <v>2</v>
      </c>
      <c r="G39" s="114"/>
    </row>
    <row r="40" spans="2:7">
      <c r="C40" s="112"/>
      <c r="D40" s="112"/>
      <c r="E40" s="113"/>
      <c r="F40" s="112">
        <f>IF(Configuration!J15=Configuration!B43,"",2)</f>
        <v>2</v>
      </c>
      <c r="G40" s="114"/>
    </row>
    <row r="41" spans="2:7">
      <c r="C41" s="112"/>
      <c r="D41" s="112"/>
      <c r="E41" s="113"/>
      <c r="F41" s="112">
        <f>IF(Configuration!J15=Configuration!B43,"",2)</f>
        <v>2</v>
      </c>
      <c r="G41" s="114"/>
    </row>
    <row r="42" spans="2:7">
      <c r="B42" s="122"/>
      <c r="C42" s="112"/>
      <c r="D42" s="112"/>
      <c r="E42" s="113"/>
      <c r="F42" s="112"/>
      <c r="G42" s="114"/>
    </row>
    <row r="43" spans="2:7">
      <c r="C43" s="123"/>
      <c r="D43" s="123"/>
      <c r="E43" s="124"/>
      <c r="F43" s="112">
        <f>IF(Configuration!J15=Configuration!B43,1,2)</f>
        <v>2</v>
      </c>
      <c r="G43" s="114"/>
    </row>
    <row r="44" spans="2:7">
      <c r="C44" s="123"/>
      <c r="D44" s="123"/>
      <c r="E44" s="124"/>
      <c r="F44" s="112">
        <f>IF(Configuration!J15=Configuration!B43,1,2)</f>
        <v>2</v>
      </c>
      <c r="G44" s="114"/>
    </row>
    <row r="51" spans="2:2">
      <c r="B51" s="122" t="s">
        <v>264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BOM</vt:lpstr>
      <vt:lpstr>Electrical Wiring</vt:lpstr>
      <vt:lpstr>Cable gauge ref</vt:lpstr>
      <vt:lpstr>Fasteners</vt:lpstr>
      <vt:lpstr>Frame Cost Calc</vt:lpstr>
      <vt:lpstr>Heatbed Cost</vt:lpstr>
      <vt:lpstr>Sheet1</vt:lpstr>
      <vt:lpstr>Configuration</vt:lpstr>
      <vt:lpstr>Print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2021-03-09T15:56:04Z</dcterms:created>
  <dcterms:modified xsi:type="dcterms:W3CDTF">2021-09-01T12:17:30Z</dcterms:modified>
</cp:coreProperties>
</file>